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2.xml" ContentType="application/vnd.openxmlformats-officedocument.spreadsheetml.comments+xml"/>
  <Override PartName="/xl/drawings/drawing7.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3.xml" ContentType="application/vnd.openxmlformats-officedocument.spreadsheetml.comments+xml"/>
  <Override PartName="/xl/drawings/drawing8.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4.xml" ContentType="application/vnd.openxmlformats-officedocument.spreadsheetml.comments+xml"/>
  <Override PartName="/xl/drawings/drawing9.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defaultThemeVersion="124226"/>
  <mc:AlternateContent xmlns:mc="http://schemas.openxmlformats.org/markup-compatibility/2006">
    <mc:Choice Requires="x15">
      <x15ac:absPath xmlns:x15ac="http://schemas.microsoft.com/office/spreadsheetml/2010/11/ac" url="\\ad.uni-hamburg.de\redir\redir0005\BAO4800\Desktop\"/>
    </mc:Choice>
  </mc:AlternateContent>
  <xr:revisionPtr revIDLastSave="0" documentId="13_ncr:1_{3F172433-2738-47D0-9455-B898205CC08F}" xr6:coauthVersionLast="47" xr6:coauthVersionMax="47" xr10:uidLastSave="{00000000-0000-0000-0000-000000000000}"/>
  <workbookProtection workbookAlgorithmName="SHA-512" workbookHashValue="+oOyyI5o5p0fPsn7QcffkZ90xvn+TsioPD3wThKRInnjaSYtvjia399SzJmVqYVr4dkxnDjph/4EDNse+wS14g==" workbookSaltValue="QDBfypTitX6EyOPRMnHQdw==" workbookSpinCount="100000" lockStructure="1"/>
  <bookViews>
    <workbookView xWindow="-120" yWindow="-120" windowWidth="29040" windowHeight="15720" tabRatio="975" activeTab="1" xr2:uid="{00000000-000D-0000-FFFF-FFFF00000000}"/>
  </bookViews>
  <sheets>
    <sheet name="Erläuterung" sheetId="56" r:id="rId1"/>
    <sheet name="PKHR_für_Tarifpersonal" sheetId="33" r:id="rId2"/>
    <sheet name="PKHR_für_SHK_WHK_TUT" sheetId="35" r:id="rId3"/>
    <sheet name="PKHR_für_AZA(P)" sheetId="22" r:id="rId4"/>
    <sheet name="HR-DM (U3,U4,U5AUF)" sheetId="1" state="hidden" r:id="rId5"/>
    <sheet name="HR-LM (U2,U5FOD,U7)" sheetId="50" state="hidden" r:id="rId6"/>
    <sheet name="HR-AZA(P)" sheetId="53" state="hidden" r:id="rId7"/>
    <sheet name="HR-EU" sheetId="51" state="hidden" r:id="rId8"/>
    <sheet name="HR-SHK, WHK u.Tut" sheetId="24" state="hidden" r:id="rId9"/>
    <sheet name="HR-EU_Druckversion" sheetId="52" state="hidden" r:id="rId10"/>
    <sheet name="Tariftabellen" sheetId="3" state="hidden" r:id="rId11"/>
    <sheet name="Nebenkosten (NK)" sheetId="9" state="hidden" r:id="rId12"/>
    <sheet name="Std. Satz_SHK, WHK u. TUT" sheetId="25" state="hidden" r:id="rId13"/>
    <sheet name="NK_SHK, WHK u. TUT" sheetId="26" state="hidden" r:id="rId14"/>
    <sheet name="Berechnungsgrundlagen" sheetId="55" r:id="rId15"/>
    <sheet name="LeeresArbeitsblatt" sheetId="57" r:id="rId16"/>
    <sheet name="Änderungshistorie" sheetId="58" r:id="rId17"/>
    <sheet name="Kontrolle" sheetId="60" state="hidden" r:id="rId18"/>
    <sheet name="DROP DOWN" sheetId="27" state="hidden" r:id="rId19"/>
  </sheets>
  <externalReferences>
    <externalReference r:id="rId20"/>
    <externalReference r:id="rId21"/>
  </externalReferences>
  <definedNames>
    <definedName name="AGBTR_Jahr1" localSheetId="14">[1]Nebenkosten!$D$50</definedName>
    <definedName name="AGBTR_Jahr1" localSheetId="0">'[2]Nebenkosten (NK)'!$D$50</definedName>
    <definedName name="AGBTR_Jahr1">'Nebenkosten (NK)'!$D$55</definedName>
    <definedName name="AGBTR_Jahr2" localSheetId="14">[1]Nebenkosten!$L$50</definedName>
    <definedName name="AGBTR_Jahr2" localSheetId="0">'[2]Nebenkosten (NK)'!$L$50</definedName>
    <definedName name="AGBTR_Jahr2">'Nebenkosten (NK)'!$L$55</definedName>
    <definedName name="AGBTR_Jahr3" localSheetId="14">[1]Nebenkosten!$T$50</definedName>
    <definedName name="AGBTR_Jahr3" localSheetId="0">'[2]Nebenkosten (NK)'!$T$50</definedName>
    <definedName name="AGBTR_Jahr3">'Nebenkosten (NK)'!$T$55</definedName>
    <definedName name="AGBTR_Jahr4" localSheetId="14">[1]Nebenkosten!$AB$50</definedName>
    <definedName name="AGBTR_Jahr4" localSheetId="0">'[2]Nebenkosten (NK)'!$AB$50</definedName>
    <definedName name="AGBTR_Jahr4">'Nebenkosten (NK)'!$AB$55</definedName>
    <definedName name="AGBTR_Jahr5" localSheetId="14">[1]Nebenkosten!$AJ$50</definedName>
    <definedName name="AGBTR_Jahr5" localSheetId="0">'[2]Nebenkosten (NK)'!$AJ$50</definedName>
    <definedName name="AGBTR_Jahr5">'Nebenkosten (NK)'!$AJ$55</definedName>
    <definedName name="AGBTR_Jahr6" localSheetId="14">[1]Nebenkosten!$AR$50</definedName>
    <definedName name="AGBTR_Jahr6" localSheetId="0">'[2]Nebenkosten (NK)'!$AR$50</definedName>
    <definedName name="AGBTR_Jahr6">'Nebenkosten (NK)'!$AR$55</definedName>
    <definedName name="AGHBTR_Jahr1" localSheetId="14">[1]Nebenkosten!$F$50</definedName>
    <definedName name="AGHBTR_Jahr1" localSheetId="0">'[2]Nebenkosten (NK)'!$F$50</definedName>
    <definedName name="AGHBTR_Jahr1">'Nebenkosten (NK)'!$F$55</definedName>
    <definedName name="AGHBTR_Jahr2" localSheetId="14">[1]Nebenkosten!$N$50</definedName>
    <definedName name="AGHBTR_Jahr2" localSheetId="0">'[2]Nebenkosten (NK)'!$N$50</definedName>
    <definedName name="AGHBTR_Jahr2">'Nebenkosten (NK)'!$N$55</definedName>
    <definedName name="AGHBTR_Jahr3" localSheetId="14">[1]Nebenkosten!$V$50</definedName>
    <definedName name="AGHBTR_Jahr3" localSheetId="0">'[2]Nebenkosten (NK)'!$V$50</definedName>
    <definedName name="AGHBTR_Jahr3">'Nebenkosten (NK)'!$V$55</definedName>
    <definedName name="AGHBTR_Jahr4" localSheetId="14">[1]Nebenkosten!$AD$50</definedName>
    <definedName name="AGHBTR_Jahr4" localSheetId="0">'[2]Nebenkosten (NK)'!$AD$50</definedName>
    <definedName name="AGHBTR_Jahr4">'Nebenkosten (NK)'!$AD$55</definedName>
    <definedName name="AGHBTR_Jahr5" localSheetId="14">[1]Nebenkosten!$AL$50</definedName>
    <definedName name="AGHBTR_Jahr5" localSheetId="0">'[2]Nebenkosten (NK)'!$AL$50</definedName>
    <definedName name="AGHBTR_Jahr5">'Nebenkosten (NK)'!$AL$55</definedName>
    <definedName name="AGHBTR_Jahr6" localSheetId="14">[1]Nebenkosten!$AT$50</definedName>
    <definedName name="AGHBTR_Jahr6" localSheetId="0">'[2]Nebenkosten (NK)'!$AT$50</definedName>
    <definedName name="AGHBTR_Jahr6">'Nebenkosten (NK)'!$AT$55</definedName>
    <definedName name="AvBeitrJahr1" localSheetId="14">[1]Nebenkosten!$D$47</definedName>
    <definedName name="AvBeitrJahr1" localSheetId="0">'[2]Nebenkosten (NK)'!$D$47</definedName>
    <definedName name="AvBeitrJahr1">'Nebenkosten (NK)'!$D$52</definedName>
    <definedName name="AvBeitrJahr2" localSheetId="14">[1]Nebenkosten!$L$47</definedName>
    <definedName name="AvBeitrJahr2" localSheetId="0">'[2]Nebenkosten (NK)'!$L$47</definedName>
    <definedName name="AvBeitrJahr2">'Nebenkosten (NK)'!$L$52</definedName>
    <definedName name="AvBeitrJahr3" localSheetId="14">[1]Nebenkosten!$T$47</definedName>
    <definedName name="AvBeitrJahr3" localSheetId="0">'[2]Nebenkosten (NK)'!$T$47</definedName>
    <definedName name="AvBeitrJahr3">'Nebenkosten (NK)'!$T$52</definedName>
    <definedName name="AvBeitrJahr4" localSheetId="14">[1]Nebenkosten!$AB$47</definedName>
    <definedName name="AvBeitrJahr4" localSheetId="0">'[2]Nebenkosten (NK)'!$AB$47</definedName>
    <definedName name="AvBeitrJahr4">'Nebenkosten (NK)'!$AB$52</definedName>
    <definedName name="AvBeitrJahr5" localSheetId="14">[1]Nebenkosten!$AJ$47</definedName>
    <definedName name="AvBeitrJahr5" localSheetId="0">'[2]Nebenkosten (NK)'!$AJ$47</definedName>
    <definedName name="AvBeitrJahr5">'Nebenkosten (NK)'!$AJ$52</definedName>
    <definedName name="AvBeitrJahr6" localSheetId="14">[1]Nebenkosten!$AR$47</definedName>
    <definedName name="AvBeitrJahr6" localSheetId="0">'[2]Nebenkosten (NK)'!$AR$47</definedName>
    <definedName name="AvBeitrJahr6">'Nebenkosten (NK)'!$AR$52</definedName>
    <definedName name="Bmg1Jahr1" localSheetId="14">[1]Nebenkosten!$E$44</definedName>
    <definedName name="Bmg1Jahr1" localSheetId="0">'[2]Nebenkosten (NK)'!$E$44</definedName>
    <definedName name="Bmg1Jahr1">'Nebenkosten (NK)'!$E$49</definedName>
    <definedName name="Bmg1Jahr2" localSheetId="14">[1]Nebenkosten!$M$44</definedName>
    <definedName name="Bmg1Jahr2" localSheetId="0">'[2]Nebenkosten (NK)'!$M$44</definedName>
    <definedName name="Bmg1Jahr2">'Nebenkosten (NK)'!$M$49</definedName>
    <definedName name="Bmg1Jahr3" localSheetId="14">[1]Nebenkosten!$U$44</definedName>
    <definedName name="Bmg1Jahr3" localSheetId="0">'[2]Nebenkosten (NK)'!$U$44</definedName>
    <definedName name="Bmg1Jahr3">'Nebenkosten (NK)'!$U$49</definedName>
    <definedName name="Bmg1Jahr4" localSheetId="14">[1]Nebenkosten!$AC$44</definedName>
    <definedName name="Bmg1Jahr4" localSheetId="0">'[2]Nebenkosten (NK)'!$AC$44</definedName>
    <definedName name="Bmg1Jahr4">'Nebenkosten (NK)'!$AC$49</definedName>
    <definedName name="Bmg1Jahr5" localSheetId="14">[1]Nebenkosten!$AK$44</definedName>
    <definedName name="Bmg1Jahr5" localSheetId="0">'[2]Nebenkosten (NK)'!$AK$44</definedName>
    <definedName name="Bmg1Jahr5">'Nebenkosten (NK)'!$AK$49</definedName>
    <definedName name="Bmg1Jahr6" localSheetId="14">[1]Nebenkosten!$AS$44</definedName>
    <definedName name="Bmg1Jahr6" localSheetId="0">'[2]Nebenkosten (NK)'!$AS$44</definedName>
    <definedName name="Bmg1Jahr6">'Nebenkosten (NK)'!$AS$49</definedName>
    <definedName name="Bmg2Jahr1" localSheetId="14">[1]Nebenkosten!$E$46</definedName>
    <definedName name="Bmg2Jahr1" localSheetId="0">'[2]Nebenkosten (NK)'!$E$46</definedName>
    <definedName name="Bmg2Jahr1">'Nebenkosten (NK)'!$E$51</definedName>
    <definedName name="Bmg2Jahr2" localSheetId="14">[1]Nebenkosten!$M$46</definedName>
    <definedName name="Bmg2Jahr2" localSheetId="0">'[2]Nebenkosten (NK)'!$M$46</definedName>
    <definedName name="Bmg2Jahr2">'Nebenkosten (NK)'!$M$51</definedName>
    <definedName name="Bmg2Jahr3" localSheetId="14">[1]Nebenkosten!$U$46</definedName>
    <definedName name="Bmg2Jahr3" localSheetId="0">'[2]Nebenkosten (NK)'!$U$46</definedName>
    <definedName name="Bmg2Jahr3">'Nebenkosten (NK)'!$U$51</definedName>
    <definedName name="Bmg2Jahr4" localSheetId="14">[1]Nebenkosten!$AC$46</definedName>
    <definedName name="Bmg2Jahr4" localSheetId="0">'[2]Nebenkosten (NK)'!$AC$46</definedName>
    <definedName name="Bmg2Jahr4">'Nebenkosten (NK)'!$AC$51</definedName>
    <definedName name="Bmg2Jahr5" localSheetId="14">[1]Nebenkosten!$AK$46</definedName>
    <definedName name="Bmg2Jahr5" localSheetId="0">'[2]Nebenkosten (NK)'!$AK$46</definedName>
    <definedName name="Bmg2Jahr5">'Nebenkosten (NK)'!$AK$51</definedName>
    <definedName name="Bmg2Jahr6" localSheetId="14">[1]Nebenkosten!$AS$46</definedName>
    <definedName name="Bmg2Jahr6" localSheetId="0">'[2]Nebenkosten (NK)'!$AS$46</definedName>
    <definedName name="Bmg2Jahr6">'Nebenkosten (NK)'!$AS$51</definedName>
    <definedName name="BmgKvJahr1">'Nebenkosten (NK)'!$E$49</definedName>
    <definedName name="_xlnm.Print_Area" localSheetId="6">'HR-AZA(P)'!$A$1:$AU$97</definedName>
    <definedName name="_xlnm.Print_Area" localSheetId="4">'HR-DM (U3,U4,U5AUF)'!$A$1:$AU$97</definedName>
    <definedName name="_xlnm.Print_Area" localSheetId="7">'HR-EU'!$A$1:$AU$97</definedName>
    <definedName name="_xlnm.Print_Area" localSheetId="5">'HR-LM (U2,U5FOD,U7)'!$A$1:$AU$97</definedName>
    <definedName name="_xlnm.Print_Area" localSheetId="8">'HR-SHK, WHK u.Tut'!$A$1:$AF$77</definedName>
    <definedName name="_xlnm.Print_Area" localSheetId="11">'Nebenkosten (NK)'!$A$1:$AV$64</definedName>
    <definedName name="_xlnm.Print_Area" localSheetId="13">'NK_SHK, WHK u. TUT'!$A$1:$H$35</definedName>
    <definedName name="_xlnm.Print_Area" localSheetId="12">'Std. Satz_SHK, WHK u. TUT'!$A$2:$P$78</definedName>
    <definedName name="_xlnm.Print_Area" localSheetId="10">Tariftabellen!$A$1:$AV$25</definedName>
    <definedName name="EntgelteJahr1" localSheetId="14">'[1]TV-L Tabellen'!$B$6:$G$24</definedName>
    <definedName name="EntgelteJahr1" localSheetId="0">[2]Tariftabellen!$B$6:$G$24</definedName>
    <definedName name="EntgelteJahr1">Tariftabellen!$B$6:$G$24</definedName>
    <definedName name="EntgelteJahr2" localSheetId="14">'[1]TV-L Tabellen'!$J$6:$O$24</definedName>
    <definedName name="EntgelteJahr2" localSheetId="0">[2]Tariftabellen!$J$6:$O$24</definedName>
    <definedName name="EntgelteJahr2">Tariftabellen!$J$6:$O$24</definedName>
    <definedName name="EntgelteJahr3" localSheetId="14">'[1]TV-L Tabellen'!$R$6:$W$24</definedName>
    <definedName name="EntgelteJahr3" localSheetId="0">[2]Tariftabellen!$R$6:$W$24</definedName>
    <definedName name="EntgelteJahr3">Tariftabellen!$R$6:$W$24</definedName>
    <definedName name="EntgelteJahr4" localSheetId="14">'[1]TV-L Tabellen'!$Z$6:$AE$24</definedName>
    <definedName name="EntgelteJahr4" localSheetId="0">[2]Tariftabellen!$Z$6:$AE$24</definedName>
    <definedName name="EntgelteJahr4">Tariftabellen!$Z$6:$AE$24</definedName>
    <definedName name="EntgelteJahr5" localSheetId="14">'[1]TV-L Tabellen'!$AH$6:$AM$24</definedName>
    <definedName name="EntgelteJahr5" localSheetId="0">[2]Tariftabellen!$AH$6:$AM$24</definedName>
    <definedName name="EntgelteJahr5">Tariftabellen!$AH$6:$AM$24</definedName>
    <definedName name="EntgelteJahr6" localSheetId="14">'[1]TV-L Tabellen'!$AP$6:$AU$24</definedName>
    <definedName name="EntgelteJahr6" localSheetId="0">[2]Tariftabellen!$AP$6:$AU$24</definedName>
    <definedName name="EntgelteJahr6">Tariftabellen!$AP$6:$AU$24</definedName>
    <definedName name="GruppeJahr1" localSheetId="14">'[1]TV-L Tabellen'!$A$6:$A$24</definedName>
    <definedName name="GruppeJahr1" localSheetId="0">[2]Tariftabellen!$A$6:$A$24</definedName>
    <definedName name="GruppeJahr1">Tariftabellen!$A$6:$A$24</definedName>
    <definedName name="GruppeJahr2" localSheetId="14">'[1]TV-L Tabellen'!$I$6:$I$24</definedName>
    <definedName name="GruppeJahr2" localSheetId="0">[2]Tariftabellen!$I$6:$I$24</definedName>
    <definedName name="GruppeJahr2">Tariftabellen!$I$6:$I$24</definedName>
    <definedName name="GruppeJahr3" localSheetId="14">'[1]TV-L Tabellen'!$Q$6:$Q$24</definedName>
    <definedName name="GruppeJahr3" localSheetId="0">[2]Tariftabellen!$Q$6:$Q$24</definedName>
    <definedName name="GruppeJahr3">Tariftabellen!$Q$6:$Q$24</definedName>
    <definedName name="GruppeJahr4" localSheetId="14">'[1]TV-L Tabellen'!$Y$6:$Y$24</definedName>
    <definedName name="GruppeJahr4" localSheetId="0">[2]Tariftabellen!$Y$6:$Y$24</definedName>
    <definedName name="GruppeJahr4">Tariftabellen!$Y$6:$Y$24</definedName>
    <definedName name="GruppeJahr5" localSheetId="14">'[1]TV-L Tabellen'!$AG$6:$AG$24</definedName>
    <definedName name="GruppeJahr5" localSheetId="0">[2]Tariftabellen!$AG$6:$AG$24</definedName>
    <definedName name="GruppeJahr5">Tariftabellen!$AG$6:$AG$24</definedName>
    <definedName name="GruppeJahr6" localSheetId="14">'[1]TV-L Tabellen'!$AO$6:$AO$24</definedName>
    <definedName name="GruppeJahr6" localSheetId="0">[2]Tariftabellen!$AO$6:$AO$24</definedName>
    <definedName name="GruppeJahr6">Tariftabellen!$AO$6:$AO$24</definedName>
    <definedName name="HBetrKVJahr1" localSheetId="14">[1]Nebenkosten!$F$44</definedName>
    <definedName name="HBetrKVJahr1" localSheetId="0">'[2]Nebenkosten (NK)'!$F$44</definedName>
    <definedName name="HBetrKVJahr1">'Nebenkosten (NK)'!$F$49</definedName>
    <definedName name="HBetrKVJahr2" localSheetId="14">[1]Nebenkosten!$N$44</definedName>
    <definedName name="HBetrKVJahr2" localSheetId="0">'[2]Nebenkosten (NK)'!$N$44</definedName>
    <definedName name="HBetrKVJahr2">'Nebenkosten (NK)'!$N$49</definedName>
    <definedName name="HBetrKVJahr3" localSheetId="14">[1]Nebenkosten!$V$44</definedName>
    <definedName name="HBetrKVJahr3" localSheetId="0">'[2]Nebenkosten (NK)'!$V$44</definedName>
    <definedName name="HBetrKVJahr3">'Nebenkosten (NK)'!$V$49</definedName>
    <definedName name="HBetrKVJahr4" localSheetId="14">[1]Nebenkosten!$AD$44</definedName>
    <definedName name="HBetrKVJahr4" localSheetId="0">'[2]Nebenkosten (NK)'!$AD$44</definedName>
    <definedName name="HBetrKVJahr4">'Nebenkosten (NK)'!$AD$49</definedName>
    <definedName name="HBetrKVJahr5" localSheetId="14">[1]Nebenkosten!$AL$44</definedName>
    <definedName name="HBetrKVJahr5" localSheetId="0">'[2]Nebenkosten (NK)'!$AL$44</definedName>
    <definedName name="HBetrKVJahr5">'Nebenkosten (NK)'!$AL$49</definedName>
    <definedName name="HBetrKVJahr6" localSheetId="14">[1]Nebenkosten!$AT$44</definedName>
    <definedName name="HBetrKVJahr6" localSheetId="0">'[2]Nebenkosten (NK)'!$AT$44</definedName>
    <definedName name="HBetrKVJahr6">'Nebenkosten (NK)'!$AT$49</definedName>
    <definedName name="HBetrPVJahr1" localSheetId="14">[1]Nebenkosten!$F$45</definedName>
    <definedName name="HBetrPVJahr1" localSheetId="0">'[2]Nebenkosten (NK)'!$F$45</definedName>
    <definedName name="HBetrPVJahr1">'Nebenkosten (NK)'!$F$50</definedName>
    <definedName name="HBetrPVJahr2" localSheetId="14">[1]Nebenkosten!$N$45</definedName>
    <definedName name="HBetrPVJahr2" localSheetId="0">'[2]Nebenkosten (NK)'!$N$45</definedName>
    <definedName name="HBetrPVJahr2">'Nebenkosten (NK)'!$N$50</definedName>
    <definedName name="HBetrPVJahr3" localSheetId="14">[1]Nebenkosten!$V$45</definedName>
    <definedName name="HBetrPVJahr3" localSheetId="0">'[2]Nebenkosten (NK)'!$V$45</definedName>
    <definedName name="HBetrPVJahr3">'Nebenkosten (NK)'!$V$50</definedName>
    <definedName name="HBetrPVJahr4" localSheetId="14">[1]Nebenkosten!$AD$45</definedName>
    <definedName name="HBetrPVJahr4" localSheetId="0">'[2]Nebenkosten (NK)'!$AD$45</definedName>
    <definedName name="HBetrPVJahr4">'Nebenkosten (NK)'!$AD$50</definedName>
    <definedName name="HBetrPVJahr5" localSheetId="14">[1]Nebenkosten!$AL$45</definedName>
    <definedName name="HBetrPVJahr5" localSheetId="0">'[2]Nebenkosten (NK)'!$AL$45</definedName>
    <definedName name="HBetrPVJahr5">'Nebenkosten (NK)'!$AL$50</definedName>
    <definedName name="HBetrPVJahr6" localSheetId="14">[1]Nebenkosten!$AT$45</definedName>
    <definedName name="HBetrPVJahr6" localSheetId="0">'[2]Nebenkosten (NK)'!$AT$45</definedName>
    <definedName name="HBetrPVJahr6">'Nebenkosten (NK)'!$AT$50</definedName>
    <definedName name="HBetrU2Jahr1">'Nebenkosten (NK)'!$F$54</definedName>
    <definedName name="HBetrU2Jahr2">'Nebenkosten (NK)'!$N$54</definedName>
    <definedName name="HBetrU2Jahr3">'Nebenkosten (NK)'!$V$54</definedName>
    <definedName name="HBetrU2Jahr4">'Nebenkosten (NK)'!$AD$54</definedName>
    <definedName name="HBetrU2Jahr5">'Nebenkosten (NK)'!$AL$54</definedName>
    <definedName name="HBetrU2Jahr6">'Nebenkosten (NK)'!$AT$54</definedName>
    <definedName name="JszGrJahr1" localSheetId="14">[1]Nebenkosten!$A$4:$A$22</definedName>
    <definedName name="JszGrJahr1" localSheetId="0">'[2]Nebenkosten (NK)'!$A$4:$A$22</definedName>
    <definedName name="JszGrJahr1">'Nebenkosten (NK)'!$A$4:$A$22</definedName>
    <definedName name="JszGrJahr2" localSheetId="14">[1]Nebenkosten!$I$4:$I$22</definedName>
    <definedName name="JszGrJahr2" localSheetId="0">'[2]Nebenkosten (NK)'!$I$4:$I$22</definedName>
    <definedName name="JszGrJahr2">'Nebenkosten (NK)'!$I$4:$I$22</definedName>
    <definedName name="JszGrJahr3" localSheetId="14">[1]Nebenkosten!$Q$4:$Q$22</definedName>
    <definedName name="JszGrJahr3" localSheetId="0">'[2]Nebenkosten (NK)'!$Q$4:$Q$22</definedName>
    <definedName name="JszGrJahr3">'Nebenkosten (NK)'!$Q$4:$Q$22</definedName>
    <definedName name="JszGrJahr4" localSheetId="14">[1]Nebenkosten!$Y$4:$Y$22</definedName>
    <definedName name="JszGrJahr4" localSheetId="0">'[2]Nebenkosten (NK)'!$Y$4:$Y$22</definedName>
    <definedName name="JszGrJahr4">'Nebenkosten (NK)'!$Y$4:$Y$22</definedName>
    <definedName name="JszGrJahr5" localSheetId="14">[1]Nebenkosten!$AG$4:$AG$22</definedName>
    <definedName name="JszGrJahr5" localSheetId="0">'[2]Nebenkosten (NK)'!$AG$4:$AG$22</definedName>
    <definedName name="JszGrJahr5">'Nebenkosten (NK)'!$AG$4:$AG$22</definedName>
    <definedName name="JszGrJahr6" localSheetId="14">[1]Nebenkosten!$AO$4:$AO$22</definedName>
    <definedName name="JszGrJahr6" localSheetId="0">'[2]Nebenkosten (NK)'!$AO$4:$AO$22</definedName>
    <definedName name="JszGrJahr6">'Nebenkosten (NK)'!$AO$4:$AO$22</definedName>
    <definedName name="JszJahr1" localSheetId="14">[1]Nebenkosten!$B$4:$G$22</definedName>
    <definedName name="JszJahr1" localSheetId="0">'[2]Nebenkosten (NK)'!$B$4:$G$22</definedName>
    <definedName name="JszJahr1">'Nebenkosten (NK)'!$B$4:$G$22</definedName>
    <definedName name="JszJahr2" localSheetId="14">[1]Nebenkosten!$J$4:$O$22</definedName>
    <definedName name="JszJahr2" localSheetId="0">'[2]Nebenkosten (NK)'!$J$4:$O$22</definedName>
    <definedName name="JszJahr2">'Nebenkosten (NK)'!$J$4:$O$22</definedName>
    <definedName name="JszJahr3" localSheetId="14">[1]Nebenkosten!$R$4:$W$22</definedName>
    <definedName name="JszJahr3" localSheetId="0">'[2]Nebenkosten (NK)'!$R$4:$W$22</definedName>
    <definedName name="JszJahr3">'Nebenkosten (NK)'!$R$4:$W$22</definedName>
    <definedName name="JszJahr4" localSheetId="14">[1]Nebenkosten!$Z$4:$AE$22</definedName>
    <definedName name="JszJahr4" localSheetId="0">'[2]Nebenkosten (NK)'!$Z$4:$AE$22</definedName>
    <definedName name="JszJahr4">'Nebenkosten (NK)'!$Z$4:$AE$22</definedName>
    <definedName name="JszJahr5" localSheetId="14">[1]Nebenkosten!$AH$4:$AM$22</definedName>
    <definedName name="JszJahr5" localSheetId="0">'[2]Nebenkosten (NK)'!$AH$4:$AM$22</definedName>
    <definedName name="JszJahr5">'Nebenkosten (NK)'!$AH$4:$AM$22</definedName>
    <definedName name="JszJahr6" localSheetId="14">[1]Nebenkosten!$AP$4:$AU$22</definedName>
    <definedName name="JszJahr6" localSheetId="0">'[2]Nebenkosten (NK)'!$AP$4:$AU$22</definedName>
    <definedName name="JszJahr6">'Nebenkosten (NK)'!$AP$4:$AU$22</definedName>
    <definedName name="JszStJahr1" localSheetId="14">[1]Nebenkosten!$B$3:$G$3</definedName>
    <definedName name="JszStJahr1" localSheetId="0">'[2]Nebenkosten (NK)'!$B$3:$G$3</definedName>
    <definedName name="JszStJahr1">'Nebenkosten (NK)'!$B$3:$G$3</definedName>
    <definedName name="JszStJahr2" localSheetId="14">[1]Nebenkosten!$J$3:$O$3</definedName>
    <definedName name="JszStJahr2" localSheetId="0">'[2]Nebenkosten (NK)'!$J$3:$O$3</definedName>
    <definedName name="JszStJahr2">'Nebenkosten (NK)'!$J$3:$O$3</definedName>
    <definedName name="JszStJahr3" localSheetId="14">[1]Nebenkosten!$R$3:$W$3</definedName>
    <definedName name="JszStJahr3" localSheetId="0">'[2]Nebenkosten (NK)'!$R$3:$W$3</definedName>
    <definedName name="JszStJahr3">'Nebenkosten (NK)'!$R$3:$W$3</definedName>
    <definedName name="JszStJahr4" localSheetId="14">[1]Nebenkosten!$Z$3:$AE$3</definedName>
    <definedName name="JszStJahr4" localSheetId="0">'[2]Nebenkosten (NK)'!$Z$3:$AE$3</definedName>
    <definedName name="JszStJahr4">'Nebenkosten (NK)'!$Z$3:$AE$3</definedName>
    <definedName name="JszStJahr5" localSheetId="14">[1]Nebenkosten!$AH$3:$AM$3</definedName>
    <definedName name="JszStJahr5" localSheetId="0">'[2]Nebenkosten (NK)'!$AH$3:$AM$3</definedName>
    <definedName name="JszStJahr5">'Nebenkosten (NK)'!$AH$3:$AM$3</definedName>
    <definedName name="JszStJahr6" localSheetId="14">[1]Nebenkosten!$AP$3:$AU$3</definedName>
    <definedName name="JszStJahr6" localSheetId="0">'[2]Nebenkosten (NK)'!$AP$3:$AU$3</definedName>
    <definedName name="JszStJahr6">'Nebenkosten (NK)'!$AP$3:$AU$3</definedName>
    <definedName name="LukJahr1" localSheetId="14">[1]Nebenkosten!$B$37</definedName>
    <definedName name="LukJahr1" localSheetId="0">'[2]Nebenkosten (NK)'!$B$37</definedName>
    <definedName name="LukJahr1">'Nebenkosten (NK)'!$B$42</definedName>
    <definedName name="LukJahr2" localSheetId="14">[1]Nebenkosten!$J$37</definedName>
    <definedName name="LukJahr2" localSheetId="0">'[2]Nebenkosten (NK)'!$J$37</definedName>
    <definedName name="LukJahr2">'Nebenkosten (NK)'!$J$42</definedName>
    <definedName name="LukJahr3" localSheetId="14">[1]Nebenkosten!$R$37</definedName>
    <definedName name="LukJahr3" localSheetId="0">'[2]Nebenkosten (NK)'!$R$37</definedName>
    <definedName name="LukJahr3">'Nebenkosten (NK)'!$R$42</definedName>
    <definedName name="LukJahr4" localSheetId="14">[1]Nebenkosten!$Z$37</definedName>
    <definedName name="LukJahr4" localSheetId="0">'[2]Nebenkosten (NK)'!$Z$37</definedName>
    <definedName name="LukJahr4">'Nebenkosten (NK)'!$Z$42</definedName>
    <definedName name="LukJahr5" localSheetId="14">[1]Nebenkosten!$AH$37</definedName>
    <definedName name="LukJahr5" localSheetId="0">'[2]Nebenkosten (NK)'!$AH$37</definedName>
    <definedName name="LukJahr5">'Nebenkosten (NK)'!$AH$42</definedName>
    <definedName name="LukJahr6" localSheetId="14">[1]Nebenkosten!$AP$37</definedName>
    <definedName name="LukJahr6" localSheetId="0">'[2]Nebenkosten (NK)'!$AP$37</definedName>
    <definedName name="LukJahr6">'Nebenkosten (NK)'!$AP$42</definedName>
    <definedName name="MZJahr1">'Nebenkosten (NK)'!$B$37</definedName>
    <definedName name="MZJahr2">'Nebenkosten (NK)'!$J$37</definedName>
    <definedName name="MZJahr3">'Nebenkosten (NK)'!$R$37</definedName>
    <definedName name="MZJahr4">'Nebenkosten (NK)'!$Z$37</definedName>
    <definedName name="MZJahr5">'Nebenkosten (NK)'!$AH$37</definedName>
    <definedName name="MZJahr6">'Nebenkosten (NK)'!$AP$37</definedName>
    <definedName name="RvBeitrJahr1" localSheetId="14">[1]Nebenkosten!$D$46</definedName>
    <definedName name="RvBeitrJahr1" localSheetId="0">'[2]Nebenkosten (NK)'!$D$46</definedName>
    <definedName name="RvBeitrJahr1">'Nebenkosten (NK)'!$D$51</definedName>
    <definedName name="RvBeitrJahr2" localSheetId="14">[1]Nebenkosten!$L$46</definedName>
    <definedName name="RvBeitrJahr2" localSheetId="0">'[2]Nebenkosten (NK)'!$L$46</definedName>
    <definedName name="RvBeitrJahr2">'Nebenkosten (NK)'!$L$51</definedName>
    <definedName name="RvBeitrJahr3" localSheetId="14">[1]Nebenkosten!$T$46</definedName>
    <definedName name="RvBeitrJahr3" localSheetId="0">'[2]Nebenkosten (NK)'!$T$46</definedName>
    <definedName name="RvBeitrJahr3">'Nebenkosten (NK)'!$T$51</definedName>
    <definedName name="RvBeitrJahr4" localSheetId="14">[1]Nebenkosten!$AB$46</definedName>
    <definedName name="RvBeitrJahr4" localSheetId="0">'[2]Nebenkosten (NK)'!$AB$46</definedName>
    <definedName name="RvBeitrJahr4">'Nebenkosten (NK)'!$AB$51</definedName>
    <definedName name="RvBeitrJahr5" localSheetId="14">[1]Nebenkosten!$AJ$46</definedName>
    <definedName name="RvBeitrJahr5" localSheetId="0">'[2]Nebenkosten (NK)'!$AJ$46</definedName>
    <definedName name="RvBeitrJahr5">'Nebenkosten (NK)'!$AJ$51</definedName>
    <definedName name="RvBeitrJahr6" localSheetId="14">[1]Nebenkosten!$AR$46</definedName>
    <definedName name="RvBeitrJahr6" localSheetId="0">'[2]Nebenkosten (NK)'!$AR$46</definedName>
    <definedName name="RvBeitrJahr6">'Nebenkosten (NK)'!$AR$51</definedName>
    <definedName name="StufeJahr1" localSheetId="14">'[1]TV-L Tabellen'!$B$5:$G$5</definedName>
    <definedName name="StufeJahr1" localSheetId="0">[2]Tariftabellen!$B$5:$G$5</definedName>
    <definedName name="StufeJahr1">Tariftabellen!$B$5:$G$5</definedName>
    <definedName name="StufeJahr2" localSheetId="14">'[1]TV-L Tabellen'!$J$5:$O$5</definedName>
    <definedName name="StufeJahr2" localSheetId="0">[2]Tariftabellen!$J$5:$O$5</definedName>
    <definedName name="StufeJahr2">Tariftabellen!$J$5:$O$5</definedName>
    <definedName name="StufeJahr3" localSheetId="14">'[1]TV-L Tabellen'!$R$5:$W$5</definedName>
    <definedName name="StufeJahr3" localSheetId="0">[2]Tariftabellen!$R$5:$W$5</definedName>
    <definedName name="StufeJahr3">Tariftabellen!$R$5:$W$5</definedName>
    <definedName name="StufeJahr4" localSheetId="14">'[1]TV-L Tabellen'!$Z$5:$AE$5</definedName>
    <definedName name="StufeJahr4" localSheetId="0">[2]Tariftabellen!$Z$5:$AE$5</definedName>
    <definedName name="StufeJahr4">Tariftabellen!$Z$5:$AE$5</definedName>
    <definedName name="StufeJahr5" localSheetId="14">'[1]TV-L Tabellen'!$AH$5:$AM$5</definedName>
    <definedName name="StufeJahr5" localSheetId="0">[2]Tariftabellen!$AH$5:$AM$5</definedName>
    <definedName name="StufeJahr5">Tariftabellen!$AH$5:$AM$5</definedName>
    <definedName name="StufeJahr6" localSheetId="14">'[1]TV-L Tabellen'!$AP$5:$AU$5</definedName>
    <definedName name="StufeJahr6" localSheetId="0">[2]Tariftabellen!$AP$5:$AU$5</definedName>
    <definedName name="StufeJahr6">Tariftabellen!$AP$5:$AU$5</definedName>
    <definedName name="StundenJahr1" localSheetId="14">[1]Nebenkosten!$B$27</definedName>
    <definedName name="StundenJahr1" localSheetId="0">'[2]Nebenkosten (NK)'!$B$27</definedName>
    <definedName name="StundenJahr1">'Nebenkosten (NK)'!$B$27</definedName>
    <definedName name="StundenJahr2" localSheetId="14">[1]Nebenkosten!$J$27</definedName>
    <definedName name="StundenJahr2" localSheetId="0">'[2]Nebenkosten (NK)'!$J$27</definedName>
    <definedName name="StundenJahr2">'Nebenkosten (NK)'!$J$27</definedName>
    <definedName name="StundenJahr3" localSheetId="14">[1]Nebenkosten!$R$27</definedName>
    <definedName name="StundenJahr3" localSheetId="0">'[2]Nebenkosten (NK)'!$R$27</definedName>
    <definedName name="StundenJahr3">'Nebenkosten (NK)'!$R$27</definedName>
    <definedName name="StundenJahr4" localSheetId="14">[1]Nebenkosten!$Z$27</definedName>
    <definedName name="StundenJahr4" localSheetId="0">'[2]Nebenkosten (NK)'!$Z$27</definedName>
    <definedName name="StundenJahr4">'Nebenkosten (NK)'!$Z$27</definedName>
    <definedName name="StundenJahr5" localSheetId="14">[1]Nebenkosten!$AH$27</definedName>
    <definedName name="StundenJahr5" localSheetId="0">'[2]Nebenkosten (NK)'!$AH$27</definedName>
    <definedName name="StundenJahr5">'Nebenkosten (NK)'!$AH$27</definedName>
    <definedName name="StundenJahr6" localSheetId="14">[1]Nebenkosten!$AP$27</definedName>
    <definedName name="StundenJahr6" localSheetId="0">'[2]Nebenkosten (NK)'!$AP$27</definedName>
    <definedName name="StundenJahr6">'Nebenkosten (NK)'!$AP$27</definedName>
    <definedName name="U2UmlJahr1" localSheetId="14">[1]Nebenkosten!$D$49</definedName>
    <definedName name="U2UmlJahr1" localSheetId="0">'[2]Nebenkosten (NK)'!$D$49</definedName>
    <definedName name="U2UmlJahr1">'Nebenkosten (NK)'!$D$54</definedName>
    <definedName name="U2UmlJahr2" localSheetId="14">[1]Nebenkosten!$L$49</definedName>
    <definedName name="U2UmlJahr2" localSheetId="0">'[2]Nebenkosten (NK)'!$L$49</definedName>
    <definedName name="U2UmlJahr2">'Nebenkosten (NK)'!$L$54</definedName>
    <definedName name="U2UmlJahr3" localSheetId="14">[1]Nebenkosten!$T$49</definedName>
    <definedName name="U2UmlJahr3" localSheetId="0">'[2]Nebenkosten (NK)'!$T$49</definedName>
    <definedName name="U2UmlJahr3">'Nebenkosten (NK)'!$T$54</definedName>
    <definedName name="U2UmlJahr4" localSheetId="14">[1]Nebenkosten!$AB$49</definedName>
    <definedName name="U2UmlJahr4" localSheetId="0">'[2]Nebenkosten (NK)'!$AB$49</definedName>
    <definedName name="U2UmlJahr4">'Nebenkosten (NK)'!$AB$54</definedName>
    <definedName name="U2UmlJahr5" localSheetId="14">[1]Nebenkosten!$AJ$49</definedName>
    <definedName name="U2UmlJahr5" localSheetId="0">'[2]Nebenkosten (NK)'!$AJ$49</definedName>
    <definedName name="U2UmlJahr5">'Nebenkosten (NK)'!$AJ$54</definedName>
    <definedName name="U2UmlJahr6" localSheetId="14">[1]Nebenkosten!$AR$49</definedName>
    <definedName name="U2UmlJahr6" localSheetId="0">'[2]Nebenkosten (NK)'!$AR$49</definedName>
    <definedName name="U2UmlJahr6">'Nebenkosten (NK)'!$AR$54</definedName>
    <definedName name="VzDmJahr1" localSheetId="14">[1]Nebenkosten!$B$32</definedName>
    <definedName name="VzDmJahr1" localSheetId="0">'[2]Nebenkosten (NK)'!$B$32</definedName>
    <definedName name="VzDmJahr1">'Nebenkosten (NK)'!$B$32</definedName>
    <definedName name="VzDmJahr2" localSheetId="14">[1]Nebenkosten!$J$32</definedName>
    <definedName name="VzDmJahr2" localSheetId="0">'[2]Nebenkosten (NK)'!$J$32</definedName>
    <definedName name="VzDmJahr2">'Nebenkosten (NK)'!$J$32</definedName>
    <definedName name="VzDmJahr3" localSheetId="14">[1]Nebenkosten!$R$32</definedName>
    <definedName name="VzDmJahr3" localSheetId="0">'[2]Nebenkosten (NK)'!$R$32</definedName>
    <definedName name="VzDmJahr3">'Nebenkosten (NK)'!$R$32</definedName>
    <definedName name="VzDmJahr4" localSheetId="14">[1]Nebenkosten!$Z$32</definedName>
    <definedName name="VzDmJahr4" localSheetId="0">'[2]Nebenkosten (NK)'!$Z$32</definedName>
    <definedName name="VzDmJahr4">'Nebenkosten (NK)'!$Z$32</definedName>
    <definedName name="VzDmJahr5" localSheetId="14">[1]Nebenkosten!$AH$32</definedName>
    <definedName name="VzDmJahr5" localSheetId="0">'[2]Nebenkosten (NK)'!$AH$32</definedName>
    <definedName name="VzDmJahr5">'Nebenkosten (NK)'!$AH$32</definedName>
    <definedName name="VzDmJahr6" localSheetId="14">[1]Nebenkosten!$AP$32</definedName>
    <definedName name="VzDmJahr6" localSheetId="0">'[2]Nebenkosten (NK)'!$AP$32</definedName>
    <definedName name="VzDmJahr6">'Nebenkosten (NK)'!$AP$32</definedName>
    <definedName name="VzLMJahr1" localSheetId="14">[1]Nebenkosten!$C$32</definedName>
    <definedName name="VzLMJahr1" localSheetId="0">'[2]Nebenkosten (NK)'!$C$32</definedName>
    <definedName name="VzLMJahr1">'Nebenkosten (NK)'!$C$32</definedName>
    <definedName name="VzLMJahr2" localSheetId="14">[1]Nebenkosten!$K$32</definedName>
    <definedName name="VzLMJahr2" localSheetId="0">'[2]Nebenkosten (NK)'!$K$32</definedName>
    <definedName name="VzLMJahr2">'Nebenkosten (NK)'!$K$32</definedName>
    <definedName name="VzLMJahr3" localSheetId="14">[1]Nebenkosten!$S$32</definedName>
    <definedName name="VzLMJahr3" localSheetId="0">'[2]Nebenkosten (NK)'!$S$32</definedName>
    <definedName name="VzLMJahr3">'Nebenkosten (NK)'!$S$32</definedName>
    <definedName name="VzLMJahr4" localSheetId="14">[1]Nebenkosten!$AA$32</definedName>
    <definedName name="VzLMJahr4" localSheetId="0">'[2]Nebenkosten (NK)'!$AA$32</definedName>
    <definedName name="VzLMJahr4">'Nebenkosten (NK)'!$AA$32</definedName>
    <definedName name="VzLMJahr5" localSheetId="14">[1]Nebenkosten!$AI$32</definedName>
    <definedName name="VzLMJahr5" localSheetId="0">'[2]Nebenkosten (NK)'!$AI$32</definedName>
    <definedName name="VzLMJahr5">'Nebenkosten (NK)'!$AI$32</definedName>
    <definedName name="VzLMJahr6" localSheetId="14">[1]Nebenkosten!$AQ$32</definedName>
    <definedName name="VzLMJahr6" localSheetId="0">'[2]Nebenkosten (NK)'!$AQ$32</definedName>
    <definedName name="VzLMJahr6">'Nebenkosten (NK)'!$AQ$32</definedName>
    <definedName name="VZunbDM1" localSheetId="14">[1]Nebenkosten!$D$32</definedName>
    <definedName name="VZunbDM1" localSheetId="0">'[2]Nebenkosten (NK)'!$D$32</definedName>
    <definedName name="VZunbDM1">'Nebenkosten (NK)'!$D$32</definedName>
    <definedName name="VZunbDM2" localSheetId="14">[1]Nebenkosten!$L$32</definedName>
    <definedName name="VZunbDM2" localSheetId="0">'[2]Nebenkosten (NK)'!$L$32</definedName>
    <definedName name="VZunbDM2">'Nebenkosten (NK)'!$L$32</definedName>
    <definedName name="VZunbDM3" localSheetId="14">[1]Nebenkosten!$T$32</definedName>
    <definedName name="VZunbDM3" localSheetId="0">'[2]Nebenkosten (NK)'!$T$32</definedName>
    <definedName name="VZunbDM3">'Nebenkosten (NK)'!$T$32</definedName>
    <definedName name="VZunbDM4" localSheetId="14">[1]Nebenkosten!$AB$32</definedName>
    <definedName name="VZunbDM4" localSheetId="0">'[2]Nebenkosten (NK)'!$AB$32</definedName>
    <definedName name="VZunbDM4">'Nebenkosten (NK)'!$AB$32</definedName>
    <definedName name="VZunbDM5" localSheetId="14">[1]Nebenkosten!$AJ$32</definedName>
    <definedName name="VZunbDM5" localSheetId="0">'[2]Nebenkosten (NK)'!$AJ$32</definedName>
    <definedName name="VZunbDM5">'Nebenkosten (NK)'!$AJ$32</definedName>
    <definedName name="VZunbDM6" localSheetId="14">[1]Nebenkosten!$AR$32</definedName>
    <definedName name="VZunbDM6" localSheetId="0">'[2]Nebenkosten (NK)'!$AR$32</definedName>
    <definedName name="VZunbDM6">'Nebenkosten (NK)'!$AR$32</definedName>
    <definedName name="ZuschlagJahr1" localSheetId="14">[1]Nebenkosten!$B$57</definedName>
    <definedName name="ZuschlagJahr1" localSheetId="0">'[2]Nebenkosten (NK)'!$B$57</definedName>
    <definedName name="ZuschlagJahr1">'Nebenkosten (NK)'!$B$62</definedName>
    <definedName name="ZuschlagJahr2" localSheetId="14">[1]Nebenkosten!$J$57</definedName>
    <definedName name="ZuschlagJahr2" localSheetId="0">'[2]Nebenkosten (NK)'!$J$57</definedName>
    <definedName name="ZuschlagJahr2">'Nebenkosten (NK)'!$J$62</definedName>
    <definedName name="ZuschlagJahr3" localSheetId="14">[1]Nebenkosten!$R$57</definedName>
    <definedName name="ZuschlagJahr3" localSheetId="0">'[2]Nebenkosten (NK)'!$R$57</definedName>
    <definedName name="ZuschlagJahr3">'Nebenkosten (NK)'!$R$62</definedName>
    <definedName name="ZuschlagJahr4" localSheetId="14">[1]Nebenkosten!$Z$57</definedName>
    <definedName name="ZuschlagJahr4" localSheetId="0">'[2]Nebenkosten (NK)'!$Z$57</definedName>
    <definedName name="ZuschlagJahr4">'Nebenkosten (NK)'!$Z$62</definedName>
    <definedName name="ZuschlagJahr5" localSheetId="14">[1]Nebenkosten!$AH$57</definedName>
    <definedName name="ZuschlagJahr5" localSheetId="0">'[2]Nebenkosten (NK)'!$AH$57</definedName>
    <definedName name="ZuschlagJahr5">'Nebenkosten (NK)'!$AH$62</definedName>
    <definedName name="ZuschlagJahr6" localSheetId="14">[1]Nebenkosten!$AP$57</definedName>
    <definedName name="ZuschlagJahr6" localSheetId="0">'[2]Nebenkosten (NK)'!$AP$57</definedName>
    <definedName name="ZuschlagJahr6">'Nebenkosten (NK)'!$AP$62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8" i="9" l="1"/>
  <c r="X9" i="50" l="1"/>
  <c r="C15" i="33"/>
  <c r="AM77" i="9"/>
  <c r="AM78" i="9" s="1"/>
  <c r="AM79" i="9" s="1"/>
  <c r="AM80" i="9" s="1"/>
  <c r="AM81" i="9" s="1"/>
  <c r="AM82" i="9" s="1"/>
  <c r="AM83" i="9" s="1"/>
  <c r="AM84" i="9" s="1"/>
  <c r="AM85" i="9" s="1"/>
  <c r="AM86" i="9" s="1"/>
  <c r="AM87" i="9" s="1"/>
  <c r="AM88" i="9" s="1"/>
  <c r="AM89" i="9" s="1"/>
  <c r="AM90" i="9" s="1"/>
  <c r="AM91" i="9" s="1"/>
  <c r="AM92" i="9" s="1"/>
  <c r="AM93" i="9" s="1"/>
  <c r="AM94" i="9" s="1"/>
  <c r="AM95" i="9" s="1"/>
  <c r="AM96" i="9" s="1"/>
  <c r="AM97" i="9" s="1"/>
  <c r="AM98" i="9" s="1"/>
  <c r="AM99" i="9" s="1"/>
  <c r="AM100" i="9" s="1"/>
  <c r="AM101" i="9" s="1"/>
  <c r="AM102" i="9" s="1"/>
  <c r="AM103" i="9" s="1"/>
  <c r="AM104" i="9" s="1"/>
  <c r="AM105" i="9" s="1"/>
  <c r="AM106" i="9" s="1"/>
  <c r="AM107" i="9" s="1"/>
  <c r="AM108" i="9" s="1"/>
  <c r="AM109" i="9" s="1"/>
  <c r="AM110" i="9" s="1"/>
  <c r="AM111" i="9" s="1"/>
  <c r="AM112" i="9" s="1"/>
  <c r="AM113" i="9" s="1"/>
  <c r="AM114" i="9" s="1"/>
  <c r="AM115" i="9" s="1"/>
  <c r="AM116" i="9" s="1"/>
  <c r="AM117" i="9" s="1"/>
  <c r="AM118" i="9" s="1"/>
  <c r="AM119" i="9" s="1"/>
  <c r="AM120" i="9" s="1"/>
  <c r="AM121" i="9" s="1"/>
  <c r="AM122" i="9" s="1"/>
  <c r="AM123" i="9" s="1"/>
  <c r="AM124" i="9" s="1"/>
  <c r="C14" i="33"/>
  <c r="B10" i="26" l="1"/>
  <c r="B11" i="26"/>
  <c r="J6" i="24" l="1"/>
  <c r="D11" i="26" l="1"/>
  <c r="C1" i="33" l="1"/>
  <c r="E15" i="25" l="1"/>
  <c r="B3" i="51"/>
  <c r="M6" i="1" l="1"/>
  <c r="O77" i="9"/>
  <c r="C19" i="33" l="1"/>
  <c r="O8" i="50"/>
  <c r="O10" i="50"/>
  <c r="C13" i="35"/>
  <c r="H13" i="35" l="1"/>
  <c r="G19" i="33"/>
  <c r="O10" i="51"/>
  <c r="O8" i="51"/>
  <c r="O10" i="53"/>
  <c r="O8" i="53"/>
  <c r="G7" i="22" l="1"/>
  <c r="Q6" i="24" l="1"/>
  <c r="C7" i="22" l="1"/>
  <c r="C6" i="22"/>
  <c r="V6" i="1" l="1"/>
  <c r="B3" i="1" l="1"/>
  <c r="O10" i="1" l="1"/>
  <c r="W6" i="1" s="1"/>
  <c r="O8" i="1"/>
  <c r="X5" i="51" l="1"/>
  <c r="Q6" i="51" l="1"/>
  <c r="P6" i="51"/>
  <c r="B6" i="51"/>
  <c r="N6" i="51"/>
  <c r="M6" i="51"/>
  <c r="V6" i="51"/>
  <c r="G6" i="24" l="1"/>
  <c r="P6" i="24"/>
  <c r="L6" i="24"/>
  <c r="K6" i="24"/>
  <c r="K31" i="33"/>
  <c r="X5" i="50"/>
  <c r="B4" i="22"/>
  <c r="B6" i="53"/>
  <c r="I6" i="1"/>
  <c r="I6" i="53"/>
  <c r="I6" i="50"/>
  <c r="B6" i="1"/>
  <c r="Q6" i="53"/>
  <c r="P6" i="53"/>
  <c r="Q6" i="50"/>
  <c r="P6" i="50"/>
  <c r="N6" i="50"/>
  <c r="M6" i="50"/>
  <c r="N6" i="53"/>
  <c r="M6" i="53"/>
  <c r="C9" i="22" s="1"/>
  <c r="V6" i="53" l="1"/>
  <c r="V6" i="50"/>
  <c r="Q6" i="1" l="1"/>
  <c r="P6" i="1"/>
  <c r="N6" i="1"/>
  <c r="B4" i="52" l="1"/>
  <c r="L15" i="25"/>
  <c r="J15" i="25"/>
  <c r="B5" i="52"/>
  <c r="B3" i="50" l="1"/>
  <c r="B3" i="53" l="1"/>
  <c r="B9" i="52"/>
  <c r="C11" i="22"/>
  <c r="C13" i="22" l="1"/>
  <c r="C10" i="22"/>
  <c r="D9" i="22"/>
  <c r="AK88" i="53"/>
  <c r="U88" i="53"/>
  <c r="F88" i="53"/>
  <c r="AK87" i="53"/>
  <c r="U87" i="53"/>
  <c r="F87" i="53"/>
  <c r="AK86" i="53"/>
  <c r="U86" i="53"/>
  <c r="F86" i="53"/>
  <c r="AK85" i="53"/>
  <c r="U85" i="53"/>
  <c r="F85" i="53"/>
  <c r="AK84" i="53"/>
  <c r="U84" i="53"/>
  <c r="F84" i="53"/>
  <c r="AK83" i="53"/>
  <c r="U83" i="53"/>
  <c r="F83" i="53"/>
  <c r="AK82" i="53"/>
  <c r="U82" i="53"/>
  <c r="F82" i="53"/>
  <c r="AK81" i="53"/>
  <c r="U81" i="53"/>
  <c r="F81" i="53"/>
  <c r="AK80" i="53"/>
  <c r="U80" i="53"/>
  <c r="F80" i="53"/>
  <c r="AK79" i="53"/>
  <c r="U79" i="53"/>
  <c r="F79" i="53"/>
  <c r="AK78" i="53"/>
  <c r="U78" i="53"/>
  <c r="F78" i="53"/>
  <c r="AK77" i="53"/>
  <c r="U77" i="53"/>
  <c r="F77" i="53"/>
  <c r="AK68" i="53"/>
  <c r="U68" i="53"/>
  <c r="F68" i="53"/>
  <c r="AK67" i="53"/>
  <c r="U67" i="53"/>
  <c r="F67" i="53"/>
  <c r="AK66" i="53"/>
  <c r="U66" i="53"/>
  <c r="F66" i="53"/>
  <c r="AK65" i="53"/>
  <c r="U65" i="53"/>
  <c r="F65" i="53"/>
  <c r="AK64" i="53"/>
  <c r="U64" i="53"/>
  <c r="F64" i="53"/>
  <c r="AK63" i="53"/>
  <c r="U63" i="53"/>
  <c r="F63" i="53"/>
  <c r="AK62" i="53"/>
  <c r="U62" i="53"/>
  <c r="F62" i="53"/>
  <c r="AK61" i="53"/>
  <c r="U61" i="53"/>
  <c r="F61" i="53"/>
  <c r="AK60" i="53"/>
  <c r="U60" i="53"/>
  <c r="F60" i="53"/>
  <c r="AK59" i="53"/>
  <c r="U59" i="53"/>
  <c r="F59" i="53"/>
  <c r="AK58" i="53"/>
  <c r="U58" i="53"/>
  <c r="F58" i="53"/>
  <c r="AK57" i="53"/>
  <c r="U57" i="53"/>
  <c r="F57" i="53"/>
  <c r="AF42" i="53"/>
  <c r="Z42" i="53"/>
  <c r="N42" i="53"/>
  <c r="AF41" i="53"/>
  <c r="Z41" i="53"/>
  <c r="N41" i="53"/>
  <c r="AF38" i="53"/>
  <c r="Z38" i="53"/>
  <c r="N38" i="53"/>
  <c r="AG37" i="53"/>
  <c r="AF37" i="53"/>
  <c r="AA37" i="53"/>
  <c r="Z37" i="53"/>
  <c r="O37" i="53"/>
  <c r="N37" i="53"/>
  <c r="N30" i="53"/>
  <c r="L30" i="53"/>
  <c r="J30" i="53"/>
  <c r="O6" i="53" s="1"/>
  <c r="C12" i="22" s="1"/>
  <c r="AF28" i="53"/>
  <c r="Z28" i="53"/>
  <c r="N28" i="53"/>
  <c r="AF27" i="53"/>
  <c r="Z27" i="53"/>
  <c r="N27" i="53"/>
  <c r="J26" i="53"/>
  <c r="AF24" i="53"/>
  <c r="Z24" i="53"/>
  <c r="N24" i="53"/>
  <c r="AG23" i="53"/>
  <c r="AF23" i="53"/>
  <c r="AA23" i="53"/>
  <c r="Z23" i="53"/>
  <c r="O23" i="53"/>
  <c r="N23" i="53"/>
  <c r="J20" i="53"/>
  <c r="J22" i="53" s="1"/>
  <c r="S16" i="53"/>
  <c r="S15" i="53"/>
  <c r="S14" i="53"/>
  <c r="S13" i="53"/>
  <c r="T12" i="53"/>
  <c r="S12" i="53"/>
  <c r="W6" i="53"/>
  <c r="I25" i="52"/>
  <c r="B11" i="52"/>
  <c r="B10" i="52"/>
  <c r="B8" i="52"/>
  <c r="C7" i="52"/>
  <c r="B7" i="52"/>
  <c r="AK88" i="51"/>
  <c r="U88" i="51"/>
  <c r="F88" i="51"/>
  <c r="AK87" i="51"/>
  <c r="U87" i="51"/>
  <c r="F87" i="51"/>
  <c r="AK86" i="51"/>
  <c r="U86" i="51"/>
  <c r="F86" i="51"/>
  <c r="AK85" i="51"/>
  <c r="U85" i="51"/>
  <c r="F85" i="51"/>
  <c r="AK84" i="51"/>
  <c r="U84" i="51"/>
  <c r="F84" i="51"/>
  <c r="AK83" i="51"/>
  <c r="U83" i="51"/>
  <c r="F83" i="51"/>
  <c r="AK82" i="51"/>
  <c r="U82" i="51"/>
  <c r="F82" i="51"/>
  <c r="AK81" i="51"/>
  <c r="U81" i="51"/>
  <c r="F81" i="51"/>
  <c r="AK80" i="51"/>
  <c r="U80" i="51"/>
  <c r="F80" i="51"/>
  <c r="AK79" i="51"/>
  <c r="U79" i="51"/>
  <c r="F79" i="51"/>
  <c r="AK78" i="51"/>
  <c r="U78" i="51"/>
  <c r="F78" i="51"/>
  <c r="AK77" i="51"/>
  <c r="U77" i="51"/>
  <c r="F77" i="51"/>
  <c r="AK68" i="51"/>
  <c r="U68" i="51"/>
  <c r="F68" i="51"/>
  <c r="AK67" i="51"/>
  <c r="U67" i="51"/>
  <c r="F67" i="51"/>
  <c r="AK66" i="51"/>
  <c r="U66" i="51"/>
  <c r="F66" i="51"/>
  <c r="AK65" i="51"/>
  <c r="U65" i="51"/>
  <c r="F65" i="51"/>
  <c r="AK64" i="51"/>
  <c r="U64" i="51"/>
  <c r="F64" i="51"/>
  <c r="AK63" i="51"/>
  <c r="U63" i="51"/>
  <c r="F63" i="51"/>
  <c r="AK62" i="51"/>
  <c r="U62" i="51"/>
  <c r="F62" i="51"/>
  <c r="AK61" i="51"/>
  <c r="U61" i="51"/>
  <c r="F61" i="51"/>
  <c r="AK60" i="51"/>
  <c r="U60" i="51"/>
  <c r="F60" i="51"/>
  <c r="AK59" i="51"/>
  <c r="U59" i="51"/>
  <c r="F59" i="51"/>
  <c r="AK58" i="51"/>
  <c r="U58" i="51"/>
  <c r="F58" i="51"/>
  <c r="AK57" i="51"/>
  <c r="U57" i="51"/>
  <c r="F57" i="51"/>
  <c r="AF42" i="51"/>
  <c r="Z42" i="51"/>
  <c r="N42" i="51"/>
  <c r="AF41" i="51"/>
  <c r="Z41" i="51"/>
  <c r="N41" i="51"/>
  <c r="AF38" i="51"/>
  <c r="Z38" i="51"/>
  <c r="N38" i="51"/>
  <c r="AG37" i="51"/>
  <c r="AF37" i="51"/>
  <c r="AA37" i="51"/>
  <c r="Z37" i="51"/>
  <c r="O37" i="51"/>
  <c r="N37" i="51"/>
  <c r="N30" i="51"/>
  <c r="L30" i="51"/>
  <c r="J30" i="51"/>
  <c r="AF28" i="51"/>
  <c r="Z28" i="51"/>
  <c r="N28" i="51"/>
  <c r="AF27" i="51"/>
  <c r="Z27" i="51"/>
  <c r="N27" i="51"/>
  <c r="J26" i="51"/>
  <c r="AF24" i="51"/>
  <c r="Z24" i="51"/>
  <c r="N24" i="51"/>
  <c r="AG23" i="51"/>
  <c r="AF23" i="51"/>
  <c r="AA23" i="51"/>
  <c r="Z23" i="51"/>
  <c r="O23" i="51"/>
  <c r="N23" i="51"/>
  <c r="J20" i="51"/>
  <c r="Z104" i="51" s="1"/>
  <c r="AA104" i="51" s="1"/>
  <c r="AB104" i="51" s="1"/>
  <c r="AC104" i="51" s="1"/>
  <c r="AD104" i="51" s="1"/>
  <c r="AE104" i="51" s="1"/>
  <c r="S16" i="51"/>
  <c r="S15" i="51"/>
  <c r="S14" i="51"/>
  <c r="S13" i="51"/>
  <c r="T12" i="51"/>
  <c r="S12" i="51"/>
  <c r="W6" i="51"/>
  <c r="J22" i="51" l="1"/>
  <c r="C14" i="22"/>
  <c r="P104" i="53"/>
  <c r="A16" i="52"/>
  <c r="A17" i="52" s="1"/>
  <c r="A18" i="52" s="1"/>
  <c r="A19" i="52" s="1"/>
  <c r="A20" i="52" s="1"/>
  <c r="A21" i="52" s="1"/>
  <c r="W8" i="53"/>
  <c r="W10" i="53" s="1"/>
  <c r="P20" i="53"/>
  <c r="P25" i="53" s="1"/>
  <c r="T13" i="53"/>
  <c r="J25" i="53"/>
  <c r="B56" i="53"/>
  <c r="J31" i="53"/>
  <c r="T13" i="51"/>
  <c r="T14" i="51" s="1"/>
  <c r="T15" i="51" s="1"/>
  <c r="T16" i="51" s="1"/>
  <c r="P20" i="51"/>
  <c r="W8" i="51"/>
  <c r="O6" i="51"/>
  <c r="B12" i="52" s="1"/>
  <c r="B56" i="51"/>
  <c r="P31" i="53" l="1"/>
  <c r="J31" i="51"/>
  <c r="J25" i="51"/>
  <c r="AB20" i="53"/>
  <c r="AB22" i="53" s="1"/>
  <c r="P105" i="53"/>
  <c r="B19" i="22"/>
  <c r="P22" i="53"/>
  <c r="T14" i="53"/>
  <c r="C65" i="53"/>
  <c r="C64" i="53"/>
  <c r="C68" i="53"/>
  <c r="C60" i="53"/>
  <c r="P56" i="53"/>
  <c r="C57" i="53"/>
  <c r="C63" i="53"/>
  <c r="C59" i="53"/>
  <c r="C61" i="53"/>
  <c r="C66" i="53"/>
  <c r="C62" i="53"/>
  <c r="C58" i="53"/>
  <c r="C67" i="53"/>
  <c r="Q22" i="51"/>
  <c r="W22" i="51"/>
  <c r="V22" i="51"/>
  <c r="V25" i="51" s="1"/>
  <c r="P22" i="51"/>
  <c r="P25" i="51"/>
  <c r="W10" i="51"/>
  <c r="P31" i="51"/>
  <c r="AB20" i="51"/>
  <c r="AB22" i="51" s="1"/>
  <c r="L22" i="51"/>
  <c r="L26" i="51" s="1"/>
  <c r="K22" i="51"/>
  <c r="M22" i="51"/>
  <c r="C68" i="51"/>
  <c r="C66" i="51"/>
  <c r="C67" i="51"/>
  <c r="C65" i="51"/>
  <c r="C57" i="51"/>
  <c r="C62" i="51"/>
  <c r="C58" i="51"/>
  <c r="C60" i="51"/>
  <c r="C64" i="51"/>
  <c r="C61" i="51"/>
  <c r="P56" i="51"/>
  <c r="C63" i="51"/>
  <c r="C59" i="51"/>
  <c r="P23" i="51" l="1"/>
  <c r="AB31" i="53"/>
  <c r="J34" i="53"/>
  <c r="AB25" i="53"/>
  <c r="AC22" i="51"/>
  <c r="AC23" i="51" s="1"/>
  <c r="T15" i="53"/>
  <c r="P106" i="53"/>
  <c r="B20" i="22"/>
  <c r="J34" i="51"/>
  <c r="J39" i="51" s="1"/>
  <c r="R68" i="53"/>
  <c r="R63" i="53"/>
  <c r="R67" i="53"/>
  <c r="R66" i="53"/>
  <c r="AF56" i="53"/>
  <c r="R62" i="53"/>
  <c r="R58" i="53"/>
  <c r="R59" i="53"/>
  <c r="R61" i="53"/>
  <c r="R57" i="53"/>
  <c r="R64" i="53"/>
  <c r="R65" i="53"/>
  <c r="R60" i="53"/>
  <c r="Q23" i="51"/>
  <c r="AB31" i="51"/>
  <c r="AD22" i="51"/>
  <c r="AB25" i="51"/>
  <c r="T58" i="51"/>
  <c r="T59" i="51"/>
  <c r="W23" i="51"/>
  <c r="T60" i="51" s="1"/>
  <c r="V23" i="51"/>
  <c r="T57" i="51"/>
  <c r="V26" i="51"/>
  <c r="V27" i="51" s="1"/>
  <c r="V31" i="51" s="1"/>
  <c r="T66" i="51"/>
  <c r="D62" i="51"/>
  <c r="E62" i="51" s="1"/>
  <c r="D59" i="51"/>
  <c r="E59" i="51" s="1"/>
  <c r="K23" i="51"/>
  <c r="D61" i="51"/>
  <c r="D65" i="51"/>
  <c r="E65" i="51" s="1"/>
  <c r="D66" i="51"/>
  <c r="E66" i="51" s="1"/>
  <c r="J23" i="51"/>
  <c r="D64" i="51"/>
  <c r="E64" i="51" s="1"/>
  <c r="D68" i="51"/>
  <c r="D63" i="51"/>
  <c r="D57" i="51"/>
  <c r="D60" i="51"/>
  <c r="D67" i="51"/>
  <c r="E67" i="51" s="1"/>
  <c r="D58" i="51"/>
  <c r="M23" i="51"/>
  <c r="E57" i="51" s="1"/>
  <c r="E68" i="51"/>
  <c r="E63" i="51"/>
  <c r="L25" i="51"/>
  <c r="P26" i="51"/>
  <c r="L23" i="51"/>
  <c r="R63" i="51"/>
  <c r="S63" i="51" s="1"/>
  <c r="T63" i="51" s="1"/>
  <c r="R64" i="51"/>
  <c r="S64" i="51" s="1"/>
  <c r="T64" i="51" s="1"/>
  <c r="R57" i="51"/>
  <c r="S57" i="51" s="1"/>
  <c r="R58" i="51"/>
  <c r="S58" i="51" s="1"/>
  <c r="R65" i="51"/>
  <c r="S65" i="51" s="1"/>
  <c r="T65" i="51" s="1"/>
  <c r="R59" i="51"/>
  <c r="S59" i="51" s="1"/>
  <c r="R60" i="51"/>
  <c r="S60" i="51" s="1"/>
  <c r="R67" i="51"/>
  <c r="S67" i="51" s="1"/>
  <c r="T67" i="51" s="1"/>
  <c r="AF56" i="51"/>
  <c r="R61" i="51"/>
  <c r="S61" i="51" s="1"/>
  <c r="T61" i="51" s="1"/>
  <c r="R68" i="51"/>
  <c r="S68" i="51" s="1"/>
  <c r="T68" i="51" s="1"/>
  <c r="R66" i="51"/>
  <c r="S66" i="51" s="1"/>
  <c r="R62" i="51"/>
  <c r="S62" i="51" s="1"/>
  <c r="T62" i="51" s="1"/>
  <c r="E61" i="51" l="1"/>
  <c r="E60" i="51"/>
  <c r="V24" i="51"/>
  <c r="E58" i="51"/>
  <c r="P29" i="51"/>
  <c r="V55" i="51"/>
  <c r="B17" i="52" s="1"/>
  <c r="AB23" i="51"/>
  <c r="J45" i="51"/>
  <c r="K36" i="51"/>
  <c r="L36" i="51"/>
  <c r="E79" i="51" s="1"/>
  <c r="J36" i="51"/>
  <c r="P34" i="51"/>
  <c r="P36" i="51" s="1"/>
  <c r="T16" i="53"/>
  <c r="AD22" i="53" s="1"/>
  <c r="AD25" i="53" s="1"/>
  <c r="J45" i="53"/>
  <c r="J39" i="53"/>
  <c r="P34" i="53"/>
  <c r="Q36" i="53" s="1"/>
  <c r="J36" i="53"/>
  <c r="K36" i="53"/>
  <c r="P107" i="53"/>
  <c r="B21" i="22"/>
  <c r="V28" i="51"/>
  <c r="AH68" i="53"/>
  <c r="AH63" i="53"/>
  <c r="AH66" i="53"/>
  <c r="AH65" i="53"/>
  <c r="B76" i="53"/>
  <c r="AH61" i="53"/>
  <c r="AH57" i="53"/>
  <c r="AH64" i="53"/>
  <c r="AH60" i="53"/>
  <c r="AH59" i="53"/>
  <c r="AH67" i="53"/>
  <c r="AH62" i="53"/>
  <c r="AH58" i="53"/>
  <c r="AJ57" i="51"/>
  <c r="AE22" i="51"/>
  <c r="AJ63" i="51" s="1"/>
  <c r="AD26" i="51"/>
  <c r="AD25" i="51"/>
  <c r="L28" i="51"/>
  <c r="J29" i="51"/>
  <c r="G55" i="51"/>
  <c r="B16" i="52" s="1"/>
  <c r="AB26" i="51"/>
  <c r="AH63" i="51"/>
  <c r="AI63" i="51" s="1"/>
  <c r="AH65" i="51"/>
  <c r="AI65" i="51" s="1"/>
  <c r="AH67" i="51"/>
  <c r="AI67" i="51" s="1"/>
  <c r="AH66" i="51"/>
  <c r="AI66" i="51" s="1"/>
  <c r="AH68" i="51"/>
  <c r="AI68" i="51" s="1"/>
  <c r="AH64" i="51"/>
  <c r="AI64" i="51" s="1"/>
  <c r="AH59" i="51"/>
  <c r="AI59" i="51" s="1"/>
  <c r="AH60" i="51"/>
  <c r="AI60" i="51" s="1"/>
  <c r="AH57" i="51"/>
  <c r="AI57" i="51" s="1"/>
  <c r="AH58" i="51"/>
  <c r="AI58" i="51" s="1"/>
  <c r="AH62" i="51"/>
  <c r="AI62" i="51" s="1"/>
  <c r="B76" i="51"/>
  <c r="AH61" i="51"/>
  <c r="AI61" i="51" s="1"/>
  <c r="AJ61" i="51" s="1"/>
  <c r="AJ68" i="51" l="1"/>
  <c r="AB29" i="51" s="1"/>
  <c r="AJ66" i="51"/>
  <c r="AE23" i="51"/>
  <c r="AJ67" i="51"/>
  <c r="AJ65" i="51"/>
  <c r="AJ59" i="51"/>
  <c r="AD23" i="51"/>
  <c r="AL55" i="51" s="1"/>
  <c r="B18" i="52" s="1"/>
  <c r="AJ58" i="51"/>
  <c r="AJ64" i="51"/>
  <c r="AJ60" i="51"/>
  <c r="AJ62" i="51"/>
  <c r="Q22" i="53"/>
  <c r="S57" i="53" s="1"/>
  <c r="L36" i="53"/>
  <c r="L39" i="53" s="1"/>
  <c r="AB34" i="51"/>
  <c r="AB39" i="51" s="1"/>
  <c r="K22" i="53"/>
  <c r="K23" i="53" s="1"/>
  <c r="P45" i="51"/>
  <c r="L40" i="51"/>
  <c r="E77" i="51"/>
  <c r="Q36" i="51"/>
  <c r="Q37" i="51" s="1"/>
  <c r="V36" i="51"/>
  <c r="T80" i="51" s="1"/>
  <c r="P36" i="53"/>
  <c r="P37" i="53" s="1"/>
  <c r="P39" i="51"/>
  <c r="K37" i="51"/>
  <c r="J37" i="51"/>
  <c r="M37" i="51"/>
  <c r="E78" i="51"/>
  <c r="M36" i="51"/>
  <c r="E83" i="51" s="1"/>
  <c r="L39" i="51"/>
  <c r="AB34" i="53"/>
  <c r="AB45" i="53" s="1"/>
  <c r="V36" i="53"/>
  <c r="T87" i="53" s="1"/>
  <c r="P39" i="53"/>
  <c r="P45" i="53"/>
  <c r="M22" i="53"/>
  <c r="AE22" i="53"/>
  <c r="AE23" i="53" s="1"/>
  <c r="AD26" i="53"/>
  <c r="AD28" i="53" s="1"/>
  <c r="AJ57" i="53"/>
  <c r="L22" i="53"/>
  <c r="V22" i="53"/>
  <c r="AC22" i="53"/>
  <c r="AI67" i="53" s="1"/>
  <c r="W22" i="53"/>
  <c r="K37" i="53"/>
  <c r="J37" i="53"/>
  <c r="P108" i="53"/>
  <c r="B22" i="22"/>
  <c r="C88" i="53"/>
  <c r="C80" i="53"/>
  <c r="C86" i="53"/>
  <c r="C78" i="53"/>
  <c r="C85" i="53"/>
  <c r="C77" i="53"/>
  <c r="C84" i="53"/>
  <c r="C83" i="53"/>
  <c r="P76" i="53"/>
  <c r="C82" i="53"/>
  <c r="C87" i="53"/>
  <c r="C79" i="53"/>
  <c r="C81" i="53"/>
  <c r="AD28" i="51"/>
  <c r="AD27" i="51"/>
  <c r="J40" i="51"/>
  <c r="C87" i="51"/>
  <c r="D87" i="51" s="1"/>
  <c r="C83" i="51"/>
  <c r="D83" i="51" s="1"/>
  <c r="C79" i="51"/>
  <c r="D79" i="51" s="1"/>
  <c r="C84" i="51"/>
  <c r="D84" i="51" s="1"/>
  <c r="E84" i="51" s="1"/>
  <c r="C80" i="51"/>
  <c r="D80" i="51" s="1"/>
  <c r="C78" i="51"/>
  <c r="D78" i="51" s="1"/>
  <c r="C88" i="51"/>
  <c r="D88" i="51" s="1"/>
  <c r="C85" i="51"/>
  <c r="D85" i="51" s="1"/>
  <c r="C82" i="51"/>
  <c r="D82" i="51" s="1"/>
  <c r="C86" i="51"/>
  <c r="D86" i="51" s="1"/>
  <c r="C77" i="51"/>
  <c r="D77" i="51" s="1"/>
  <c r="P76" i="51"/>
  <c r="C81" i="51"/>
  <c r="D81" i="51" s="1"/>
  <c r="E87" i="51" l="1"/>
  <c r="E80" i="51"/>
  <c r="E86" i="51"/>
  <c r="AD23" i="53"/>
  <c r="AJ67" i="53"/>
  <c r="S60" i="53"/>
  <c r="S63" i="53"/>
  <c r="S61" i="53"/>
  <c r="S68" i="53"/>
  <c r="S58" i="53"/>
  <c r="S64" i="53"/>
  <c r="S67" i="53"/>
  <c r="AJ58" i="53"/>
  <c r="S66" i="53"/>
  <c r="AD31" i="51"/>
  <c r="P23" i="53"/>
  <c r="S59" i="53"/>
  <c r="Q23" i="53"/>
  <c r="S65" i="53"/>
  <c r="S62" i="53"/>
  <c r="L40" i="53"/>
  <c r="M36" i="53"/>
  <c r="L37" i="53" s="1"/>
  <c r="G75" i="53" s="1"/>
  <c r="Q107" i="53" s="1"/>
  <c r="C22" i="22" s="1"/>
  <c r="E85" i="51"/>
  <c r="E81" i="51"/>
  <c r="E88" i="51"/>
  <c r="J43" i="51" s="1"/>
  <c r="L37" i="51"/>
  <c r="G75" i="51" s="1"/>
  <c r="B19" i="52" s="1"/>
  <c r="E82" i="51"/>
  <c r="AD36" i="51"/>
  <c r="AJ78" i="51" s="1"/>
  <c r="D59" i="53"/>
  <c r="E59" i="53" s="1"/>
  <c r="AB36" i="51"/>
  <c r="AC36" i="51"/>
  <c r="AB45" i="51"/>
  <c r="J23" i="53"/>
  <c r="D66" i="53"/>
  <c r="E66" i="53" s="1"/>
  <c r="D58" i="53"/>
  <c r="D60" i="53"/>
  <c r="E60" i="53" s="1"/>
  <c r="D68" i="53"/>
  <c r="E68" i="53" s="1"/>
  <c r="J29" i="53" s="1"/>
  <c r="D61" i="53"/>
  <c r="D62" i="53"/>
  <c r="D57" i="53"/>
  <c r="D67" i="53"/>
  <c r="E67" i="53" s="1"/>
  <c r="D64" i="53"/>
  <c r="E64" i="53" s="1"/>
  <c r="D63" i="53"/>
  <c r="E63" i="53" s="1"/>
  <c r="D65" i="53"/>
  <c r="E65" i="53" s="1"/>
  <c r="Q37" i="53"/>
  <c r="P37" i="51"/>
  <c r="T88" i="51"/>
  <c r="L23" i="53"/>
  <c r="T82" i="51"/>
  <c r="T78" i="51"/>
  <c r="T84" i="51"/>
  <c r="T87" i="51"/>
  <c r="V38" i="51"/>
  <c r="W37" i="51"/>
  <c r="T77" i="51"/>
  <c r="T86" i="51"/>
  <c r="T81" i="51"/>
  <c r="V39" i="51"/>
  <c r="T79" i="51"/>
  <c r="T85" i="51"/>
  <c r="V40" i="51"/>
  <c r="W36" i="51"/>
  <c r="V37" i="51"/>
  <c r="T83" i="51"/>
  <c r="L41" i="51"/>
  <c r="T88" i="53"/>
  <c r="L42" i="51"/>
  <c r="AC36" i="53"/>
  <c r="AD36" i="53"/>
  <c r="AJ86" i="53" s="1"/>
  <c r="AB39" i="53"/>
  <c r="AB36" i="53"/>
  <c r="V40" i="53"/>
  <c r="T81" i="53"/>
  <c r="T84" i="53"/>
  <c r="T83" i="53"/>
  <c r="V39" i="53"/>
  <c r="V37" i="53"/>
  <c r="V75" i="53" s="1"/>
  <c r="Q108" i="53" s="1"/>
  <c r="C23" i="22" s="1"/>
  <c r="W37" i="53"/>
  <c r="W36" i="53"/>
  <c r="T86" i="53"/>
  <c r="T77" i="53"/>
  <c r="T85" i="53"/>
  <c r="T79" i="53"/>
  <c r="V38" i="53"/>
  <c r="T80" i="53"/>
  <c r="T78" i="53"/>
  <c r="T82" i="53"/>
  <c r="AD27" i="53"/>
  <c r="AI62" i="53"/>
  <c r="AI60" i="53"/>
  <c r="D77" i="53"/>
  <c r="M37" i="53"/>
  <c r="E77" i="53"/>
  <c r="T67" i="53"/>
  <c r="T63" i="53"/>
  <c r="T66" i="53"/>
  <c r="T60" i="53"/>
  <c r="T65" i="53"/>
  <c r="W23" i="53"/>
  <c r="T61" i="53"/>
  <c r="T68" i="53"/>
  <c r="T57" i="53"/>
  <c r="T59" i="53"/>
  <c r="T62" i="53"/>
  <c r="V26" i="53"/>
  <c r="V23" i="53"/>
  <c r="T64" i="53"/>
  <c r="T58" i="53"/>
  <c r="V25" i="53"/>
  <c r="L25" i="53"/>
  <c r="L26" i="53"/>
  <c r="P26" i="53" s="1"/>
  <c r="D81" i="53"/>
  <c r="E81" i="53" s="1"/>
  <c r="D78" i="53"/>
  <c r="E78" i="53"/>
  <c r="AI58" i="53"/>
  <c r="AI63" i="53"/>
  <c r="AJ63" i="53" s="1"/>
  <c r="D79" i="53"/>
  <c r="E79" i="53"/>
  <c r="D87" i="53"/>
  <c r="E87" i="53" s="1"/>
  <c r="D86" i="53"/>
  <c r="M23" i="53"/>
  <c r="E57" i="53" s="1"/>
  <c r="AI57" i="53"/>
  <c r="AI59" i="53"/>
  <c r="D85" i="53"/>
  <c r="E85" i="53" s="1"/>
  <c r="D82" i="53"/>
  <c r="D80" i="53"/>
  <c r="E80" i="53"/>
  <c r="AI64" i="53"/>
  <c r="AJ64" i="53" s="1"/>
  <c r="D88" i="53"/>
  <c r="AI65" i="53"/>
  <c r="AJ65" i="53" s="1"/>
  <c r="AI61" i="53"/>
  <c r="AI66" i="53"/>
  <c r="AJ66" i="53" s="1"/>
  <c r="D83" i="53"/>
  <c r="D84" i="53"/>
  <c r="E84" i="53" s="1"/>
  <c r="AC23" i="53"/>
  <c r="AB23" i="53"/>
  <c r="AI68" i="53"/>
  <c r="P109" i="53"/>
  <c r="B24" i="22" s="1"/>
  <c r="B23" i="22"/>
  <c r="R85" i="53"/>
  <c r="S85" i="53" s="1"/>
  <c r="R77" i="53"/>
  <c r="S77" i="53" s="1"/>
  <c r="R83" i="53"/>
  <c r="S83" i="53" s="1"/>
  <c r="R82" i="53"/>
  <c r="S82" i="53" s="1"/>
  <c r="R81" i="53"/>
  <c r="S81" i="53" s="1"/>
  <c r="AF76" i="53"/>
  <c r="R88" i="53"/>
  <c r="S88" i="53" s="1"/>
  <c r="R80" i="53"/>
  <c r="S80" i="53" s="1"/>
  <c r="R87" i="53"/>
  <c r="S87" i="53" s="1"/>
  <c r="R84" i="53"/>
  <c r="S84" i="53" s="1"/>
  <c r="R86" i="53"/>
  <c r="S86" i="53" s="1"/>
  <c r="R78" i="53"/>
  <c r="S78" i="53" s="1"/>
  <c r="R79" i="53"/>
  <c r="S79" i="53" s="1"/>
  <c r="P40" i="51"/>
  <c r="R88" i="51"/>
  <c r="S88" i="51" s="1"/>
  <c r="R87" i="51"/>
  <c r="S87" i="51" s="1"/>
  <c r="AF76" i="51"/>
  <c r="R84" i="51"/>
  <c r="S84" i="51" s="1"/>
  <c r="R80" i="51"/>
  <c r="S80" i="51" s="1"/>
  <c r="R85" i="51"/>
  <c r="S85" i="51" s="1"/>
  <c r="R81" i="51"/>
  <c r="S81" i="51" s="1"/>
  <c r="R77" i="51"/>
  <c r="S77" i="51" s="1"/>
  <c r="R83" i="51"/>
  <c r="S83" i="51" s="1"/>
  <c r="R78" i="51"/>
  <c r="S78" i="51" s="1"/>
  <c r="R82" i="51"/>
  <c r="S82" i="51" s="1"/>
  <c r="R79" i="51"/>
  <c r="S79" i="51" s="1"/>
  <c r="R86" i="51"/>
  <c r="S86" i="51" s="1"/>
  <c r="E62" i="53" l="1"/>
  <c r="AJ61" i="53"/>
  <c r="AJ59" i="53"/>
  <c r="E61" i="53"/>
  <c r="AJ60" i="53"/>
  <c r="AJ62" i="53"/>
  <c r="AL55" i="53"/>
  <c r="Q106" i="53" s="1"/>
  <c r="C21" i="22" s="1"/>
  <c r="P29" i="53"/>
  <c r="E86" i="53"/>
  <c r="E83" i="53"/>
  <c r="E82" i="53"/>
  <c r="V55" i="53"/>
  <c r="Q105" i="53" s="1"/>
  <c r="C20" i="22" s="1"/>
  <c r="AD31" i="53"/>
  <c r="AD24" i="53" s="1"/>
  <c r="AJ68" i="53"/>
  <c r="AB29" i="53" s="1"/>
  <c r="E58" i="53"/>
  <c r="AJ79" i="51"/>
  <c r="L45" i="51"/>
  <c r="L38" i="51" s="1"/>
  <c r="E88" i="53"/>
  <c r="J43" i="53" s="1"/>
  <c r="AJ88" i="51"/>
  <c r="AJ86" i="51"/>
  <c r="AD38" i="51"/>
  <c r="AD39" i="51"/>
  <c r="AJ84" i="51"/>
  <c r="AJ80" i="51"/>
  <c r="AJ77" i="51"/>
  <c r="AJ87" i="51"/>
  <c r="AE36" i="51"/>
  <c r="AD37" i="51"/>
  <c r="AE37" i="51"/>
  <c r="AD40" i="51"/>
  <c r="AJ81" i="51"/>
  <c r="AJ82" i="51"/>
  <c r="AB37" i="51"/>
  <c r="AJ85" i="51"/>
  <c r="AJ83" i="51"/>
  <c r="G55" i="53"/>
  <c r="Q104" i="53" s="1"/>
  <c r="C19" i="22" s="1"/>
  <c r="AC37" i="51"/>
  <c r="P43" i="51"/>
  <c r="AB40" i="51"/>
  <c r="AB37" i="53"/>
  <c r="V75" i="51"/>
  <c r="B20" i="52" s="1"/>
  <c r="AJ80" i="53"/>
  <c r="AJ79" i="53"/>
  <c r="AJ87" i="53"/>
  <c r="V41" i="51"/>
  <c r="V45" i="51" s="1"/>
  <c r="AB26" i="53"/>
  <c r="J40" i="53" s="1"/>
  <c r="P40" i="53" s="1"/>
  <c r="AB40" i="53" s="1"/>
  <c r="AC37" i="53"/>
  <c r="V42" i="51"/>
  <c r="V41" i="53"/>
  <c r="V45" i="53" s="1"/>
  <c r="V42" i="53"/>
  <c r="AJ82" i="53"/>
  <c r="AJ83" i="53"/>
  <c r="AD37" i="53"/>
  <c r="AD40" i="53"/>
  <c r="AJ77" i="53"/>
  <c r="AJ84" i="53"/>
  <c r="AJ81" i="53"/>
  <c r="AJ78" i="53"/>
  <c r="AE37" i="53"/>
  <c r="AJ88" i="53"/>
  <c r="AD38" i="53"/>
  <c r="AE36" i="53"/>
  <c r="AJ85" i="53"/>
  <c r="AD39" i="53"/>
  <c r="L28" i="53"/>
  <c r="V28" i="53"/>
  <c r="V27" i="53"/>
  <c r="P43" i="53"/>
  <c r="AH82" i="53"/>
  <c r="AI82" i="53" s="1"/>
  <c r="AH88" i="53"/>
  <c r="AI88" i="53" s="1"/>
  <c r="AH80" i="53"/>
  <c r="AI80" i="53" s="1"/>
  <c r="AH87" i="53"/>
  <c r="AI87" i="53" s="1"/>
  <c r="AH79" i="53"/>
  <c r="AI79" i="53" s="1"/>
  <c r="AH86" i="53"/>
  <c r="AI86" i="53" s="1"/>
  <c r="AH78" i="53"/>
  <c r="AI78" i="53" s="1"/>
  <c r="AH85" i="53"/>
  <c r="AI85" i="53" s="1"/>
  <c r="AH77" i="53"/>
  <c r="AI77" i="53" s="1"/>
  <c r="AH83" i="53"/>
  <c r="AI83" i="53" s="1"/>
  <c r="AH84" i="53"/>
  <c r="AI84" i="53" s="1"/>
  <c r="AH81" i="53"/>
  <c r="AI81" i="53" s="1"/>
  <c r="AH85" i="51"/>
  <c r="AI85" i="51" s="1"/>
  <c r="AH81" i="51"/>
  <c r="AI81" i="51" s="1"/>
  <c r="AH77" i="51"/>
  <c r="AI77" i="51" s="1"/>
  <c r="AH87" i="51"/>
  <c r="AI87" i="51" s="1"/>
  <c r="AH86" i="51"/>
  <c r="AI86" i="51" s="1"/>
  <c r="AH82" i="51"/>
  <c r="AI82" i="51" s="1"/>
  <c r="AH78" i="51"/>
  <c r="AI78" i="51" s="1"/>
  <c r="AH88" i="51"/>
  <c r="AI88" i="51" s="1"/>
  <c r="AH79" i="51"/>
  <c r="AI79" i="51" s="1"/>
  <c r="AH83" i="51"/>
  <c r="AI83" i="51" s="1"/>
  <c r="AH80" i="51"/>
  <c r="AI80" i="51" s="1"/>
  <c r="AH84" i="51"/>
  <c r="AI84" i="51" s="1"/>
  <c r="V31" i="53" l="1"/>
  <c r="V24" i="53"/>
  <c r="AB43" i="51"/>
  <c r="AD41" i="51"/>
  <c r="AD45" i="51" s="1"/>
  <c r="AD42" i="51"/>
  <c r="AL75" i="51"/>
  <c r="B21" i="52" s="1"/>
  <c r="AL75" i="53"/>
  <c r="Q109" i="53" s="1"/>
  <c r="C24" i="22" s="1"/>
  <c r="AD42" i="53"/>
  <c r="AD41" i="53"/>
  <c r="AD45" i="53" s="1"/>
  <c r="AB43" i="53"/>
  <c r="G52" i="51" l="1"/>
  <c r="G52" i="53"/>
  <c r="N30" i="1"/>
  <c r="L30" i="1"/>
  <c r="J30" i="1"/>
  <c r="O6" i="1" s="1"/>
  <c r="N28" i="1"/>
  <c r="N27" i="1"/>
  <c r="AK88" i="50" l="1"/>
  <c r="U88" i="50"/>
  <c r="F88" i="50"/>
  <c r="AK87" i="50"/>
  <c r="U87" i="50"/>
  <c r="F87" i="50"/>
  <c r="AK86" i="50"/>
  <c r="U86" i="50"/>
  <c r="F86" i="50"/>
  <c r="AK85" i="50"/>
  <c r="U85" i="50"/>
  <c r="F85" i="50"/>
  <c r="AK84" i="50"/>
  <c r="U84" i="50"/>
  <c r="F84" i="50"/>
  <c r="AK83" i="50"/>
  <c r="U83" i="50"/>
  <c r="F83" i="50"/>
  <c r="AK82" i="50"/>
  <c r="U82" i="50"/>
  <c r="F82" i="50"/>
  <c r="AK81" i="50"/>
  <c r="U81" i="50"/>
  <c r="F81" i="50"/>
  <c r="AK80" i="50"/>
  <c r="U80" i="50"/>
  <c r="F80" i="50"/>
  <c r="AK79" i="50"/>
  <c r="U79" i="50"/>
  <c r="F79" i="50"/>
  <c r="AK78" i="50"/>
  <c r="U78" i="50"/>
  <c r="F78" i="50"/>
  <c r="AK77" i="50"/>
  <c r="U77" i="50"/>
  <c r="F77" i="50"/>
  <c r="AK68" i="50"/>
  <c r="U68" i="50"/>
  <c r="F68" i="50"/>
  <c r="AK67" i="50"/>
  <c r="U67" i="50"/>
  <c r="F67" i="50"/>
  <c r="AK66" i="50"/>
  <c r="U66" i="50"/>
  <c r="F66" i="50"/>
  <c r="AK65" i="50"/>
  <c r="U65" i="50"/>
  <c r="F65" i="50"/>
  <c r="AK64" i="50"/>
  <c r="U64" i="50"/>
  <c r="F64" i="50"/>
  <c r="AK63" i="50"/>
  <c r="U63" i="50"/>
  <c r="F63" i="50"/>
  <c r="AK62" i="50"/>
  <c r="U62" i="50"/>
  <c r="F62" i="50"/>
  <c r="AK61" i="50"/>
  <c r="U61" i="50"/>
  <c r="F61" i="50"/>
  <c r="AK60" i="50"/>
  <c r="U60" i="50"/>
  <c r="F60" i="50"/>
  <c r="AK59" i="50"/>
  <c r="U59" i="50"/>
  <c r="F59" i="50"/>
  <c r="AK58" i="50"/>
  <c r="U58" i="50"/>
  <c r="F58" i="50"/>
  <c r="AK57" i="50"/>
  <c r="U57" i="50"/>
  <c r="F57" i="50"/>
  <c r="AF42" i="50"/>
  <c r="Z42" i="50"/>
  <c r="N42" i="50"/>
  <c r="AF41" i="50"/>
  <c r="Z41" i="50"/>
  <c r="N41" i="50"/>
  <c r="AF38" i="50"/>
  <c r="Z38" i="50"/>
  <c r="N38" i="50"/>
  <c r="AG37" i="50"/>
  <c r="AF37" i="50"/>
  <c r="AA37" i="50"/>
  <c r="Z37" i="50"/>
  <c r="O37" i="50"/>
  <c r="N37" i="50"/>
  <c r="N30" i="50"/>
  <c r="L30" i="50"/>
  <c r="J30" i="50"/>
  <c r="O6" i="50" s="1"/>
  <c r="AF28" i="50"/>
  <c r="Z28" i="50"/>
  <c r="N28" i="50"/>
  <c r="AF27" i="50"/>
  <c r="Z27" i="50"/>
  <c r="N27" i="50"/>
  <c r="J26" i="50"/>
  <c r="AF24" i="50"/>
  <c r="Z24" i="50"/>
  <c r="N24" i="50"/>
  <c r="AG23" i="50"/>
  <c r="AF23" i="50"/>
  <c r="AA23" i="50"/>
  <c r="Z23" i="50"/>
  <c r="O23" i="50"/>
  <c r="N23" i="50"/>
  <c r="J20" i="50"/>
  <c r="S16" i="50"/>
  <c r="S15" i="50"/>
  <c r="S14" i="50"/>
  <c r="S13" i="50"/>
  <c r="T12" i="50"/>
  <c r="S12" i="50"/>
  <c r="W8" i="50"/>
  <c r="J22" i="50" l="1"/>
  <c r="J25" i="50" s="1"/>
  <c r="Z104" i="50"/>
  <c r="AA104" i="50" s="1"/>
  <c r="AB104" i="50" s="1"/>
  <c r="AC104" i="50" s="1"/>
  <c r="AD104" i="50" s="1"/>
  <c r="AE104" i="50" s="1"/>
  <c r="W10" i="50"/>
  <c r="P20" i="50"/>
  <c r="T13" i="50"/>
  <c r="B56" i="50"/>
  <c r="J31" i="50" l="1"/>
  <c r="P31" i="50"/>
  <c r="P25" i="50"/>
  <c r="P22" i="50"/>
  <c r="AB20" i="50"/>
  <c r="J34" i="50" s="1"/>
  <c r="C63" i="50"/>
  <c r="C65" i="50"/>
  <c r="C67" i="50"/>
  <c r="C62" i="50"/>
  <c r="C61" i="50"/>
  <c r="C64" i="50"/>
  <c r="C57" i="50"/>
  <c r="C58" i="50"/>
  <c r="C68" i="50"/>
  <c r="C59" i="50"/>
  <c r="P56" i="50"/>
  <c r="C60" i="50"/>
  <c r="C66" i="50"/>
  <c r="T14" i="50"/>
  <c r="T15" i="50" s="1"/>
  <c r="T16" i="50" s="1"/>
  <c r="Q22" i="50" l="1"/>
  <c r="P23" i="50" s="1"/>
  <c r="AC22" i="50"/>
  <c r="AB31" i="50"/>
  <c r="AD22" i="50"/>
  <c r="AB22" i="50"/>
  <c r="AB25" i="50"/>
  <c r="M22" i="50"/>
  <c r="K22" i="50"/>
  <c r="D68" i="50" s="1"/>
  <c r="Q23" i="50"/>
  <c r="J45" i="50"/>
  <c r="K36" i="50"/>
  <c r="J36" i="50"/>
  <c r="J39" i="50"/>
  <c r="P34" i="50"/>
  <c r="L36" i="50"/>
  <c r="R66" i="50"/>
  <c r="R63" i="50"/>
  <c r="R64" i="50"/>
  <c r="R65" i="50"/>
  <c r="R62" i="50"/>
  <c r="R61" i="50"/>
  <c r="R58" i="50"/>
  <c r="R59" i="50"/>
  <c r="R60" i="50"/>
  <c r="AF56" i="50"/>
  <c r="R67" i="50"/>
  <c r="R68" i="50"/>
  <c r="S68" i="50" s="1"/>
  <c r="R57" i="50"/>
  <c r="V22" i="50"/>
  <c r="L22" i="50"/>
  <c r="W22" i="50"/>
  <c r="I57" i="9"/>
  <c r="Q57" i="9"/>
  <c r="S59" i="50" l="1"/>
  <c r="S66" i="50"/>
  <c r="S60" i="50"/>
  <c r="S57" i="50"/>
  <c r="S62" i="50"/>
  <c r="S65" i="50"/>
  <c r="S67" i="50"/>
  <c r="S58" i="50"/>
  <c r="S61" i="50"/>
  <c r="S64" i="50"/>
  <c r="S63" i="50"/>
  <c r="AC23" i="50"/>
  <c r="AE22" i="50"/>
  <c r="AJ64" i="50" s="1"/>
  <c r="D66" i="50"/>
  <c r="E66" i="50" s="1"/>
  <c r="AD26" i="50"/>
  <c r="AD25" i="50"/>
  <c r="AJ57" i="50"/>
  <c r="D62" i="50"/>
  <c r="E62" i="50" s="1"/>
  <c r="AB23" i="50"/>
  <c r="D63" i="50"/>
  <c r="E63" i="50" s="1"/>
  <c r="D64" i="50"/>
  <c r="E64" i="50" s="1"/>
  <c r="J23" i="50"/>
  <c r="K23" i="50"/>
  <c r="D61" i="50" s="1"/>
  <c r="D65" i="50"/>
  <c r="E65" i="50" s="1"/>
  <c r="D67" i="50"/>
  <c r="D59" i="50"/>
  <c r="D60" i="50"/>
  <c r="D58" i="50"/>
  <c r="D57" i="50"/>
  <c r="L39" i="50"/>
  <c r="L40" i="50"/>
  <c r="M36" i="50"/>
  <c r="AH60" i="50"/>
  <c r="AI60" i="50" s="1"/>
  <c r="B76" i="50"/>
  <c r="AH62" i="50"/>
  <c r="AI62" i="50" s="1"/>
  <c r="AH64" i="50"/>
  <c r="AI64" i="50" s="1"/>
  <c r="AH65" i="50"/>
  <c r="AI65" i="50" s="1"/>
  <c r="AJ65" i="50" s="1"/>
  <c r="AH67" i="50"/>
  <c r="AI67" i="50" s="1"/>
  <c r="AH66" i="50"/>
  <c r="AI66" i="50" s="1"/>
  <c r="AH68" i="50"/>
  <c r="AI68" i="50" s="1"/>
  <c r="AH57" i="50"/>
  <c r="AI57" i="50" s="1"/>
  <c r="AH63" i="50"/>
  <c r="AI63" i="50" s="1"/>
  <c r="AH58" i="50"/>
  <c r="AI58" i="50" s="1"/>
  <c r="AH61" i="50"/>
  <c r="AI61" i="50" s="1"/>
  <c r="AJ61" i="50" s="1"/>
  <c r="AH59" i="50"/>
  <c r="AI59" i="50" s="1"/>
  <c r="T64" i="50"/>
  <c r="T65" i="50"/>
  <c r="T66" i="50"/>
  <c r="T63" i="50"/>
  <c r="V25" i="50"/>
  <c r="T67" i="50"/>
  <c r="V26" i="50"/>
  <c r="T57" i="50"/>
  <c r="T68" i="50"/>
  <c r="P29" i="50" s="1"/>
  <c r="T62" i="50"/>
  <c r="T61" i="50"/>
  <c r="T58" i="50"/>
  <c r="T59" i="50"/>
  <c r="W23" i="50"/>
  <c r="T60" i="50" s="1"/>
  <c r="V23" i="50"/>
  <c r="V55" i="50" s="1"/>
  <c r="P39" i="50"/>
  <c r="AB34" i="50"/>
  <c r="V36" i="50"/>
  <c r="Q36" i="50"/>
  <c r="P36" i="50"/>
  <c r="P45" i="50"/>
  <c r="E67" i="50"/>
  <c r="E68" i="50"/>
  <c r="L25" i="50"/>
  <c r="M23" i="50"/>
  <c r="E57" i="50" s="1"/>
  <c r="L26" i="50"/>
  <c r="P26" i="50" s="1"/>
  <c r="L23" i="50"/>
  <c r="K37" i="50"/>
  <c r="J37" i="50"/>
  <c r="E61" i="50" l="1"/>
  <c r="E60" i="50"/>
  <c r="AJ63" i="50"/>
  <c r="AD23" i="50"/>
  <c r="AL55" i="50" s="1"/>
  <c r="AJ67" i="50"/>
  <c r="AJ66" i="50"/>
  <c r="AJ59" i="50"/>
  <c r="AE23" i="50"/>
  <c r="AJ58" i="50" s="1"/>
  <c r="AJ62" i="50"/>
  <c r="AJ68" i="50"/>
  <c r="AB29" i="50" s="1"/>
  <c r="E59" i="50"/>
  <c r="E58" i="50"/>
  <c r="L37" i="50"/>
  <c r="G75" i="50" s="1"/>
  <c r="AD28" i="50"/>
  <c r="AD27" i="50"/>
  <c r="G55" i="50"/>
  <c r="L28" i="50"/>
  <c r="J29" i="50"/>
  <c r="AC36" i="50"/>
  <c r="AB36" i="50"/>
  <c r="AB45" i="50"/>
  <c r="AB39" i="50"/>
  <c r="AD36" i="50"/>
  <c r="C88" i="50"/>
  <c r="C84" i="50"/>
  <c r="C80" i="50"/>
  <c r="C82" i="50"/>
  <c r="P76" i="50"/>
  <c r="C87" i="50"/>
  <c r="C78" i="50"/>
  <c r="C83" i="50"/>
  <c r="C79" i="50"/>
  <c r="C85" i="50"/>
  <c r="C81" i="50"/>
  <c r="C86" i="50"/>
  <c r="C77" i="50"/>
  <c r="Q37" i="50"/>
  <c r="P37" i="50"/>
  <c r="AB26" i="50"/>
  <c r="J40" i="50" s="1"/>
  <c r="T86" i="50"/>
  <c r="T82" i="50"/>
  <c r="T78" i="50"/>
  <c r="T88" i="50"/>
  <c r="T87" i="50"/>
  <c r="T85" i="50"/>
  <c r="T81" i="50"/>
  <c r="V40" i="50"/>
  <c r="T77" i="50"/>
  <c r="W36" i="50"/>
  <c r="T83" i="50"/>
  <c r="W37" i="50"/>
  <c r="T79" i="50"/>
  <c r="V37" i="50"/>
  <c r="T84" i="50"/>
  <c r="T80" i="50"/>
  <c r="V39" i="50"/>
  <c r="V38" i="50"/>
  <c r="V28" i="50"/>
  <c r="V27" i="50"/>
  <c r="B15" i="25"/>
  <c r="V31" i="50" l="1"/>
  <c r="V24" i="50" s="1"/>
  <c r="AJ60" i="50"/>
  <c r="AD31" i="50"/>
  <c r="D83" i="50"/>
  <c r="E83" i="50"/>
  <c r="D78" i="50"/>
  <c r="E78" i="50"/>
  <c r="D87" i="50"/>
  <c r="E87" i="50" s="1"/>
  <c r="D79" i="50"/>
  <c r="E79" i="50"/>
  <c r="D77" i="50"/>
  <c r="E77" i="50"/>
  <c r="D86" i="50"/>
  <c r="E86" i="50" s="1"/>
  <c r="D82" i="50"/>
  <c r="E82" i="50"/>
  <c r="D88" i="50"/>
  <c r="E88" i="50" s="1"/>
  <c r="D81" i="50"/>
  <c r="E81" i="50" s="1"/>
  <c r="D80" i="50"/>
  <c r="E80" i="50"/>
  <c r="D85" i="50"/>
  <c r="E85" i="50"/>
  <c r="D84" i="50"/>
  <c r="E84" i="50"/>
  <c r="M37" i="50"/>
  <c r="P40" i="50"/>
  <c r="V75" i="50"/>
  <c r="R88" i="50"/>
  <c r="S88" i="50" s="1"/>
  <c r="P43" i="50" s="1"/>
  <c r="R87" i="50"/>
  <c r="S87" i="50" s="1"/>
  <c r="AF76" i="50"/>
  <c r="R85" i="50"/>
  <c r="S85" i="50" s="1"/>
  <c r="R81" i="50"/>
  <c r="S81" i="50" s="1"/>
  <c r="R77" i="50"/>
  <c r="S77" i="50" s="1"/>
  <c r="R80" i="50"/>
  <c r="S80" i="50" s="1"/>
  <c r="R86" i="50"/>
  <c r="S86" i="50" s="1"/>
  <c r="R82" i="50"/>
  <c r="S82" i="50" s="1"/>
  <c r="R78" i="50"/>
  <c r="S78" i="50" s="1"/>
  <c r="R83" i="50"/>
  <c r="S83" i="50" s="1"/>
  <c r="R79" i="50"/>
  <c r="S79" i="50" s="1"/>
  <c r="R84" i="50"/>
  <c r="S84" i="50" s="1"/>
  <c r="AJ88" i="50"/>
  <c r="AJ83" i="50"/>
  <c r="AJ79" i="50"/>
  <c r="AJ84" i="50"/>
  <c r="AJ80" i="50"/>
  <c r="AJ85" i="50"/>
  <c r="AJ81" i="50"/>
  <c r="AD38" i="50"/>
  <c r="AJ86" i="50"/>
  <c r="AJ77" i="50"/>
  <c r="AD39" i="50"/>
  <c r="AJ87" i="50"/>
  <c r="AJ82" i="50"/>
  <c r="AE37" i="50"/>
  <c r="AE36" i="50"/>
  <c r="AJ78" i="50"/>
  <c r="AD40" i="50"/>
  <c r="AD37" i="50"/>
  <c r="V42" i="50"/>
  <c r="V41" i="50"/>
  <c r="V45" i="50" s="1"/>
  <c r="AC37" i="50"/>
  <c r="AB37" i="50"/>
  <c r="AD6" i="24"/>
  <c r="J43" i="50" l="1"/>
  <c r="AB40" i="50"/>
  <c r="AL75" i="50"/>
  <c r="AH87" i="50"/>
  <c r="AI87" i="50" s="1"/>
  <c r="AH86" i="50"/>
  <c r="AI86" i="50" s="1"/>
  <c r="AH82" i="50"/>
  <c r="AI82" i="50" s="1"/>
  <c r="AH78" i="50"/>
  <c r="AI78" i="50" s="1"/>
  <c r="AH88" i="50"/>
  <c r="AI88" i="50" s="1"/>
  <c r="AB43" i="50" s="1"/>
  <c r="AH83" i="50"/>
  <c r="AI83" i="50" s="1"/>
  <c r="AH79" i="50"/>
  <c r="AI79" i="50" s="1"/>
  <c r="AH84" i="50"/>
  <c r="AI84" i="50" s="1"/>
  <c r="AH80" i="50"/>
  <c r="AI80" i="50" s="1"/>
  <c r="AH85" i="50"/>
  <c r="AI85" i="50" s="1"/>
  <c r="AH81" i="50"/>
  <c r="AI81" i="50" s="1"/>
  <c r="AH77" i="50"/>
  <c r="AI77" i="50" s="1"/>
  <c r="AD42" i="50"/>
  <c r="AD41" i="50"/>
  <c r="AD45" i="50" s="1"/>
  <c r="B13" i="25"/>
  <c r="D13" i="25" s="1"/>
  <c r="E13" i="25"/>
  <c r="H16" i="25"/>
  <c r="J16" i="25"/>
  <c r="L16" i="25"/>
  <c r="P15" i="25"/>
  <c r="P16" i="25" s="1"/>
  <c r="P17" i="25" s="1"/>
  <c r="P18" i="25" s="1"/>
  <c r="P19" i="25" s="1"/>
  <c r="P20" i="25" s="1"/>
  <c r="P21" i="25" s="1"/>
  <c r="P22" i="25" s="1"/>
  <c r="P23" i="25" s="1"/>
  <c r="P24" i="25" s="1"/>
  <c r="P25" i="25" s="1"/>
  <c r="P26" i="25" s="1"/>
  <c r="P27" i="25" s="1"/>
  <c r="P28" i="25" s="1"/>
  <c r="P29" i="25" s="1"/>
  <c r="P30" i="25" s="1"/>
  <c r="P31" i="25" s="1"/>
  <c r="P32" i="25" s="1"/>
  <c r="P33" i="25" s="1"/>
  <c r="P34" i="25" s="1"/>
  <c r="P35" i="25" s="1"/>
  <c r="P36" i="25" s="1"/>
  <c r="P37" i="25" s="1"/>
  <c r="P38" i="25" s="1"/>
  <c r="P39" i="25" s="1"/>
  <c r="P40" i="25" s="1"/>
  <c r="P41" i="25" s="1"/>
  <c r="P42" i="25" s="1"/>
  <c r="P43" i="25" s="1"/>
  <c r="P44" i="25" s="1"/>
  <c r="P45" i="25" s="1"/>
  <c r="P46" i="25" s="1"/>
  <c r="P47" i="25" s="1"/>
  <c r="P48" i="25" s="1"/>
  <c r="P49" i="25" s="1"/>
  <c r="P50" i="25" s="1"/>
  <c r="P51" i="25" s="1"/>
  <c r="P52" i="25" s="1"/>
  <c r="P53" i="25" s="1"/>
  <c r="N17" i="25"/>
  <c r="N18" i="25" s="1"/>
  <c r="N19" i="25" s="1"/>
  <c r="N20" i="25" s="1"/>
  <c r="N21" i="25" s="1"/>
  <c r="N22" i="25" s="1"/>
  <c r="N23" i="25" s="1"/>
  <c r="N24" i="25" s="1"/>
  <c r="N25" i="25" s="1"/>
  <c r="N26" i="25" s="1"/>
  <c r="N27" i="25" s="1"/>
  <c r="N28" i="25" s="1"/>
  <c r="N29" i="25" s="1"/>
  <c r="N30" i="25" s="1"/>
  <c r="N31" i="25" s="1"/>
  <c r="N32" i="25" s="1"/>
  <c r="N33" i="25" s="1"/>
  <c r="N34" i="25" s="1"/>
  <c r="N35" i="25" s="1"/>
  <c r="N36" i="25" s="1"/>
  <c r="N37" i="25" s="1"/>
  <c r="N38" i="25" s="1"/>
  <c r="N39" i="25" s="1"/>
  <c r="N40" i="25" s="1"/>
  <c r="N41" i="25" s="1"/>
  <c r="N42" i="25" s="1"/>
  <c r="N43" i="25" s="1"/>
  <c r="N44" i="25" s="1"/>
  <c r="N45" i="25" s="1"/>
  <c r="N46" i="25" s="1"/>
  <c r="N47" i="25" s="1"/>
  <c r="N48" i="25" s="1"/>
  <c r="N49" i="25" s="1"/>
  <c r="N50" i="25" s="1"/>
  <c r="N51" i="25" s="1"/>
  <c r="N52" i="25" s="1"/>
  <c r="N53" i="25" s="1"/>
  <c r="O14" i="25"/>
  <c r="O16" i="25" s="1"/>
  <c r="O17" i="25" s="1"/>
  <c r="O18" i="25" s="1"/>
  <c r="O19" i="25" s="1"/>
  <c r="O20" i="25" s="1"/>
  <c r="O21" i="25" s="1"/>
  <c r="O22" i="25" s="1"/>
  <c r="O23" i="25" s="1"/>
  <c r="O24" i="25" s="1"/>
  <c r="O25" i="25" s="1"/>
  <c r="O26" i="25" s="1"/>
  <c r="O27" i="25" s="1"/>
  <c r="O28" i="25" s="1"/>
  <c r="O29" i="25" s="1"/>
  <c r="O30" i="25" s="1"/>
  <c r="O31" i="25" s="1"/>
  <c r="O32" i="25" s="1"/>
  <c r="O33" i="25" s="1"/>
  <c r="O34" i="25" s="1"/>
  <c r="O35" i="25" s="1"/>
  <c r="O36" i="25" s="1"/>
  <c r="O37" i="25" s="1"/>
  <c r="O38" i="25" s="1"/>
  <c r="O39" i="25" s="1"/>
  <c r="O40" i="25" s="1"/>
  <c r="O41" i="25" s="1"/>
  <c r="O42" i="25" s="1"/>
  <c r="O43" i="25" s="1"/>
  <c r="O44" i="25" s="1"/>
  <c r="O45" i="25" s="1"/>
  <c r="O46" i="25" s="1"/>
  <c r="O47" i="25" s="1"/>
  <c r="O48" i="25" s="1"/>
  <c r="O49" i="25" s="1"/>
  <c r="O50" i="25" s="1"/>
  <c r="O51" i="25" s="1"/>
  <c r="O52" i="25" s="1"/>
  <c r="O53" i="25" s="1"/>
  <c r="G52" i="50" l="1"/>
  <c r="B14" i="25"/>
  <c r="D14" i="25" s="1"/>
  <c r="C16" i="33"/>
  <c r="D15" i="25" l="1"/>
  <c r="B16" i="25" l="1"/>
  <c r="D16" i="25" s="1"/>
  <c r="E12" i="25"/>
  <c r="X73" i="9" l="1"/>
  <c r="F67" i="9" l="1"/>
  <c r="E67" i="9" s="1"/>
  <c r="H12" i="25" l="1"/>
  <c r="F12" i="25"/>
  <c r="P5" i="24" l="1"/>
  <c r="B14" i="35" s="1"/>
  <c r="T12" i="1" l="1"/>
  <c r="T13" i="1" s="1"/>
  <c r="AE72" i="9" l="1"/>
  <c r="AE74" i="9" s="1"/>
  <c r="AE78" i="9" s="1"/>
  <c r="AE79" i="9" s="1"/>
  <c r="AE80" i="9" s="1"/>
  <c r="AE81" i="9" s="1"/>
  <c r="AE82" i="9" s="1"/>
  <c r="AE83" i="9" s="1"/>
  <c r="AE84" i="9" s="1"/>
  <c r="AE85" i="9" s="1"/>
  <c r="AE86" i="9" s="1"/>
  <c r="AE87" i="9" s="1"/>
  <c r="AE88" i="9" s="1"/>
  <c r="AE89" i="9" s="1"/>
  <c r="AE90" i="9" s="1"/>
  <c r="AE91" i="9" s="1"/>
  <c r="AE92" i="9" s="1"/>
  <c r="AE93" i="9" s="1"/>
  <c r="AE94" i="9" s="1"/>
  <c r="AE95" i="9" s="1"/>
  <c r="AE96" i="9" s="1"/>
  <c r="AE97" i="9" s="1"/>
  <c r="AE98" i="9" s="1"/>
  <c r="AE99" i="9" s="1"/>
  <c r="AE100" i="9" s="1"/>
  <c r="AE101" i="9" s="1"/>
  <c r="AE102" i="9" s="1"/>
  <c r="AE103" i="9" s="1"/>
  <c r="AE104" i="9" s="1"/>
  <c r="AE105" i="9" s="1"/>
  <c r="AE106" i="9" s="1"/>
  <c r="AE107" i="9" s="1"/>
  <c r="AE108" i="9" s="1"/>
  <c r="AE109" i="9" s="1"/>
  <c r="AE110" i="9" s="1"/>
  <c r="AE111" i="9" s="1"/>
  <c r="AE112" i="9" s="1"/>
  <c r="AE113" i="9" s="1"/>
  <c r="AE114" i="9" s="1"/>
  <c r="AE115" i="9" s="1"/>
  <c r="AE116" i="9" s="1"/>
  <c r="AE117" i="9" s="1"/>
  <c r="AE118" i="9" s="1"/>
  <c r="AE119" i="9" s="1"/>
  <c r="AE120" i="9" s="1"/>
  <c r="AE121" i="9" s="1"/>
  <c r="AE122" i="9" s="1"/>
  <c r="AE123" i="9" s="1"/>
  <c r="AE124" i="9" s="1"/>
  <c r="H11" i="25" l="1"/>
  <c r="I12" i="25" l="1"/>
  <c r="I17" i="25" l="1"/>
  <c r="H17" i="25"/>
  <c r="AR53" i="9"/>
  <c r="AQ53" i="9"/>
  <c r="AJ53" i="9"/>
  <c r="AI53" i="9"/>
  <c r="AB53" i="9"/>
  <c r="AA53" i="9"/>
  <c r="T53" i="9"/>
  <c r="S53" i="9"/>
  <c r="L53" i="9"/>
  <c r="K53" i="9"/>
  <c r="C53" i="9"/>
  <c r="D53" i="9"/>
  <c r="I18" i="25" l="1"/>
  <c r="H18" i="25"/>
  <c r="L68" i="9"/>
  <c r="AA70" i="9"/>
  <c r="AA75" i="9" s="1"/>
  <c r="AA77" i="9" s="1"/>
  <c r="AA78" i="9" s="1"/>
  <c r="AA79" i="9" s="1"/>
  <c r="AA80" i="9" s="1"/>
  <c r="AA81" i="9" s="1"/>
  <c r="AA82" i="9" s="1"/>
  <c r="AA83" i="9" s="1"/>
  <c r="AA84" i="9" s="1"/>
  <c r="AA85" i="9" s="1"/>
  <c r="AA86" i="9" s="1"/>
  <c r="AA87" i="9" s="1"/>
  <c r="AA88" i="9" s="1"/>
  <c r="AA89" i="9" s="1"/>
  <c r="AA90" i="9" s="1"/>
  <c r="AA91" i="9" s="1"/>
  <c r="AA92" i="9" s="1"/>
  <c r="AA93" i="9" s="1"/>
  <c r="AA94" i="9" s="1"/>
  <c r="AA95" i="9" s="1"/>
  <c r="AA96" i="9" s="1"/>
  <c r="AA97" i="9" s="1"/>
  <c r="AA98" i="9" s="1"/>
  <c r="AA99" i="9" s="1"/>
  <c r="AA100" i="9" s="1"/>
  <c r="AA101" i="9" s="1"/>
  <c r="AA102" i="9" s="1"/>
  <c r="AA103" i="9" s="1"/>
  <c r="AA104" i="9" s="1"/>
  <c r="AA105" i="9" s="1"/>
  <c r="AA106" i="9" s="1"/>
  <c r="AA107" i="9" s="1"/>
  <c r="AA108" i="9" s="1"/>
  <c r="AA109" i="9" s="1"/>
  <c r="AA110" i="9" s="1"/>
  <c r="AA111" i="9" s="1"/>
  <c r="AA112" i="9" s="1"/>
  <c r="AA113" i="9" s="1"/>
  <c r="AA114" i="9" s="1"/>
  <c r="AA115" i="9" s="1"/>
  <c r="AA116" i="9" s="1"/>
  <c r="AA117" i="9" s="1"/>
  <c r="AA118" i="9" s="1"/>
  <c r="AA119" i="9" s="1"/>
  <c r="AA120" i="9" s="1"/>
  <c r="AA121" i="9" s="1"/>
  <c r="AA122" i="9" s="1"/>
  <c r="AA123" i="9" s="1"/>
  <c r="AA124" i="9" s="1"/>
  <c r="X76" i="9"/>
  <c r="X77" i="9" s="1"/>
  <c r="X78" i="9" s="1"/>
  <c r="X79" i="9" s="1"/>
  <c r="X80" i="9" s="1"/>
  <c r="X81" i="9" s="1"/>
  <c r="X82" i="9" s="1"/>
  <c r="X83" i="9" s="1"/>
  <c r="X84" i="9" s="1"/>
  <c r="X85" i="9" s="1"/>
  <c r="X86" i="9" s="1"/>
  <c r="X87" i="9" s="1"/>
  <c r="X88" i="9" s="1"/>
  <c r="X89" i="9" s="1"/>
  <c r="X90" i="9" s="1"/>
  <c r="X91" i="9" s="1"/>
  <c r="X92" i="9" s="1"/>
  <c r="X93" i="9" s="1"/>
  <c r="X94" i="9" s="1"/>
  <c r="X95" i="9" s="1"/>
  <c r="X96" i="9" s="1"/>
  <c r="X97" i="9" s="1"/>
  <c r="X98" i="9" s="1"/>
  <c r="X99" i="9" s="1"/>
  <c r="X100" i="9" s="1"/>
  <c r="X101" i="9" s="1"/>
  <c r="X102" i="9" s="1"/>
  <c r="X103" i="9" s="1"/>
  <c r="X104" i="9" s="1"/>
  <c r="X105" i="9" s="1"/>
  <c r="X106" i="9" s="1"/>
  <c r="X107" i="9" s="1"/>
  <c r="X108" i="9" s="1"/>
  <c r="X109" i="9" s="1"/>
  <c r="X110" i="9" s="1"/>
  <c r="X111" i="9" s="1"/>
  <c r="X112" i="9" s="1"/>
  <c r="X113" i="9" s="1"/>
  <c r="X114" i="9" s="1"/>
  <c r="X115" i="9" s="1"/>
  <c r="X116" i="9" s="1"/>
  <c r="X117" i="9" s="1"/>
  <c r="X118" i="9" s="1"/>
  <c r="X119" i="9" s="1"/>
  <c r="X120" i="9" s="1"/>
  <c r="X121" i="9" s="1"/>
  <c r="X122" i="9" s="1"/>
  <c r="X123" i="9" s="1"/>
  <c r="X124" i="9" s="1"/>
  <c r="U74" i="9"/>
  <c r="U75" i="9" s="1"/>
  <c r="U76" i="9" s="1"/>
  <c r="U77" i="9" s="1"/>
  <c r="U78" i="9" s="1"/>
  <c r="U79" i="9" s="1"/>
  <c r="U80" i="9" s="1"/>
  <c r="U81" i="9" s="1"/>
  <c r="U82" i="9" s="1"/>
  <c r="U83" i="9" s="1"/>
  <c r="U84" i="9" s="1"/>
  <c r="U85" i="9" s="1"/>
  <c r="U86" i="9" s="1"/>
  <c r="U87" i="9" s="1"/>
  <c r="U88" i="9" s="1"/>
  <c r="U89" i="9" s="1"/>
  <c r="U90" i="9" s="1"/>
  <c r="U91" i="9" s="1"/>
  <c r="U92" i="9" s="1"/>
  <c r="U93" i="9" s="1"/>
  <c r="U94" i="9" s="1"/>
  <c r="U95" i="9" s="1"/>
  <c r="U96" i="9" s="1"/>
  <c r="U97" i="9" s="1"/>
  <c r="U98" i="9" s="1"/>
  <c r="U99" i="9" s="1"/>
  <c r="U100" i="9" s="1"/>
  <c r="U101" i="9" s="1"/>
  <c r="U102" i="9" s="1"/>
  <c r="U103" i="9" s="1"/>
  <c r="U104" i="9" s="1"/>
  <c r="U105" i="9" s="1"/>
  <c r="U106" i="9" s="1"/>
  <c r="U107" i="9" s="1"/>
  <c r="U108" i="9" s="1"/>
  <c r="U109" i="9" s="1"/>
  <c r="U110" i="9" s="1"/>
  <c r="U111" i="9" s="1"/>
  <c r="U112" i="9" s="1"/>
  <c r="U113" i="9" s="1"/>
  <c r="U114" i="9" s="1"/>
  <c r="U115" i="9" s="1"/>
  <c r="U116" i="9" s="1"/>
  <c r="U117" i="9" s="1"/>
  <c r="U118" i="9" s="1"/>
  <c r="U119" i="9" s="1"/>
  <c r="U120" i="9" s="1"/>
  <c r="U121" i="9" s="1"/>
  <c r="U122" i="9" s="1"/>
  <c r="U123" i="9" s="1"/>
  <c r="U124" i="9" s="1"/>
  <c r="R77" i="9"/>
  <c r="R78" i="9" s="1"/>
  <c r="R79" i="9" s="1"/>
  <c r="R80" i="9" s="1"/>
  <c r="R81" i="9" s="1"/>
  <c r="R82" i="9" s="1"/>
  <c r="R83" i="9" s="1"/>
  <c r="R84" i="9" s="1"/>
  <c r="R85" i="9" s="1"/>
  <c r="R86" i="9" s="1"/>
  <c r="R87" i="9" s="1"/>
  <c r="R88" i="9" s="1"/>
  <c r="R89" i="9" s="1"/>
  <c r="R90" i="9" s="1"/>
  <c r="R91" i="9" s="1"/>
  <c r="R92" i="9" s="1"/>
  <c r="R93" i="9" s="1"/>
  <c r="R94" i="9" s="1"/>
  <c r="R95" i="9" s="1"/>
  <c r="R96" i="9" s="1"/>
  <c r="R97" i="9" s="1"/>
  <c r="R98" i="9" s="1"/>
  <c r="R99" i="9" s="1"/>
  <c r="R100" i="9" s="1"/>
  <c r="R101" i="9" s="1"/>
  <c r="R102" i="9" s="1"/>
  <c r="R103" i="9" s="1"/>
  <c r="R104" i="9" s="1"/>
  <c r="R105" i="9" s="1"/>
  <c r="R106" i="9" s="1"/>
  <c r="R107" i="9" s="1"/>
  <c r="R108" i="9" s="1"/>
  <c r="R109" i="9" s="1"/>
  <c r="R110" i="9" s="1"/>
  <c r="R111" i="9" s="1"/>
  <c r="R112" i="9" s="1"/>
  <c r="R113" i="9" s="1"/>
  <c r="R114" i="9" s="1"/>
  <c r="R115" i="9" s="1"/>
  <c r="R116" i="9" s="1"/>
  <c r="R117" i="9" s="1"/>
  <c r="R118" i="9" s="1"/>
  <c r="R119" i="9" s="1"/>
  <c r="R120" i="9" s="1"/>
  <c r="R121" i="9" s="1"/>
  <c r="R122" i="9" s="1"/>
  <c r="R123" i="9" s="1"/>
  <c r="R124" i="9" s="1"/>
  <c r="O74" i="9"/>
  <c r="O78" i="9" s="1"/>
  <c r="O79" i="9" s="1"/>
  <c r="O80" i="9" s="1"/>
  <c r="O81" i="9" s="1"/>
  <c r="O82" i="9" s="1"/>
  <c r="O83" i="9" s="1"/>
  <c r="O84" i="9" s="1"/>
  <c r="O85" i="9" s="1"/>
  <c r="O86" i="9" s="1"/>
  <c r="O87" i="9" s="1"/>
  <c r="O88" i="9" s="1"/>
  <c r="O89" i="9" s="1"/>
  <c r="O90" i="9" s="1"/>
  <c r="O91" i="9" s="1"/>
  <c r="O92" i="9" s="1"/>
  <c r="O93" i="9" s="1"/>
  <c r="O94" i="9" s="1"/>
  <c r="O95" i="9" s="1"/>
  <c r="O96" i="9" s="1"/>
  <c r="O97" i="9" s="1"/>
  <c r="O98" i="9" s="1"/>
  <c r="O99" i="9" s="1"/>
  <c r="O100" i="9" s="1"/>
  <c r="O101" i="9" s="1"/>
  <c r="O102" i="9" s="1"/>
  <c r="O103" i="9" s="1"/>
  <c r="O104" i="9" s="1"/>
  <c r="O105" i="9" s="1"/>
  <c r="O106" i="9" s="1"/>
  <c r="O107" i="9" s="1"/>
  <c r="O108" i="9" s="1"/>
  <c r="O109" i="9" s="1"/>
  <c r="O110" i="9" s="1"/>
  <c r="O111" i="9" s="1"/>
  <c r="O112" i="9" s="1"/>
  <c r="O113" i="9" s="1"/>
  <c r="O114" i="9" s="1"/>
  <c r="O115" i="9" s="1"/>
  <c r="O116" i="9" s="1"/>
  <c r="O117" i="9" s="1"/>
  <c r="O118" i="9" s="1"/>
  <c r="O119" i="9" s="1"/>
  <c r="O120" i="9" s="1"/>
  <c r="O121" i="9" s="1"/>
  <c r="O122" i="9" s="1"/>
  <c r="O123" i="9" s="1"/>
  <c r="O124" i="9" s="1"/>
  <c r="K72" i="9"/>
  <c r="K77" i="9" s="1"/>
  <c r="K78" i="9" s="1"/>
  <c r="K79" i="9" s="1"/>
  <c r="K80" i="9" s="1"/>
  <c r="K81" i="9" s="1"/>
  <c r="K82" i="9" s="1"/>
  <c r="K83" i="9" s="1"/>
  <c r="K84" i="9" s="1"/>
  <c r="K85" i="9" s="1"/>
  <c r="K86" i="9" s="1"/>
  <c r="K87" i="9" s="1"/>
  <c r="K88" i="9" s="1"/>
  <c r="K89" i="9" s="1"/>
  <c r="K90" i="9" s="1"/>
  <c r="K91" i="9" s="1"/>
  <c r="K92" i="9" s="1"/>
  <c r="K93" i="9" s="1"/>
  <c r="K94" i="9" s="1"/>
  <c r="K95" i="9" s="1"/>
  <c r="K96" i="9" s="1"/>
  <c r="K97" i="9" s="1"/>
  <c r="K98" i="9" s="1"/>
  <c r="K99" i="9" s="1"/>
  <c r="K100" i="9" s="1"/>
  <c r="K101" i="9" s="1"/>
  <c r="K102" i="9" s="1"/>
  <c r="K103" i="9" s="1"/>
  <c r="K104" i="9" s="1"/>
  <c r="K105" i="9" s="1"/>
  <c r="K106" i="9" s="1"/>
  <c r="K107" i="9" s="1"/>
  <c r="K108" i="9" s="1"/>
  <c r="K109" i="9" s="1"/>
  <c r="K110" i="9" s="1"/>
  <c r="K111" i="9" s="1"/>
  <c r="K112" i="9" s="1"/>
  <c r="K113" i="9" s="1"/>
  <c r="K114" i="9" s="1"/>
  <c r="K115" i="9" s="1"/>
  <c r="K116" i="9" s="1"/>
  <c r="K117" i="9" s="1"/>
  <c r="K118" i="9" s="1"/>
  <c r="K119" i="9" s="1"/>
  <c r="K120" i="9" s="1"/>
  <c r="K121" i="9" s="1"/>
  <c r="K122" i="9" s="1"/>
  <c r="K123" i="9" s="1"/>
  <c r="K124" i="9" s="1"/>
  <c r="L69" i="9"/>
  <c r="I19" i="25" l="1"/>
  <c r="H19" i="25"/>
  <c r="L70" i="9"/>
  <c r="L72" i="9"/>
  <c r="L71" i="9"/>
  <c r="I20" i="25" l="1"/>
  <c r="H20" i="25"/>
  <c r="L73" i="9"/>
  <c r="M12" i="25"/>
  <c r="K12" i="25"/>
  <c r="F11" i="25"/>
  <c r="M17" i="25" l="1"/>
  <c r="L17" i="25"/>
  <c r="K17" i="25"/>
  <c r="J17" i="25"/>
  <c r="I21" i="25"/>
  <c r="H21" i="25"/>
  <c r="L74" i="9"/>
  <c r="G12" i="25"/>
  <c r="F17" i="25" s="1"/>
  <c r="I22" i="25" l="1"/>
  <c r="H22" i="25"/>
  <c r="K18" i="25"/>
  <c r="J18" i="25"/>
  <c r="M18" i="25"/>
  <c r="L18" i="25"/>
  <c r="G17" i="25"/>
  <c r="F18" i="25" s="1"/>
  <c r="L75" i="9"/>
  <c r="B72" i="9"/>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B114" i="9" s="1"/>
  <c r="B115" i="9" s="1"/>
  <c r="B116" i="9" s="1"/>
  <c r="B117" i="9" s="1"/>
  <c r="B118" i="9" s="1"/>
  <c r="B119" i="9" s="1"/>
  <c r="B120" i="9" s="1"/>
  <c r="B121" i="9" s="1"/>
  <c r="B122" i="9" s="1"/>
  <c r="B123" i="9" s="1"/>
  <c r="B124" i="9" s="1"/>
  <c r="M19" i="25" l="1"/>
  <c r="L19" i="25"/>
  <c r="K19" i="25"/>
  <c r="J19" i="25"/>
  <c r="I23" i="25"/>
  <c r="H23" i="25"/>
  <c r="G18" i="25"/>
  <c r="F19" i="25" s="1"/>
  <c r="L76" i="9"/>
  <c r="J77" i="9"/>
  <c r="J26" i="1"/>
  <c r="I24" i="25" l="1"/>
  <c r="H24" i="25"/>
  <c r="K20" i="25"/>
  <c r="J20" i="25"/>
  <c r="M20" i="25"/>
  <c r="L20" i="25"/>
  <c r="G19" i="25"/>
  <c r="F20" i="25" s="1"/>
  <c r="L77" i="9"/>
  <c r="J78" i="9"/>
  <c r="M21" i="25" l="1"/>
  <c r="L21" i="25"/>
  <c r="K21" i="25"/>
  <c r="J21" i="25"/>
  <c r="I25" i="25"/>
  <c r="H25" i="25"/>
  <c r="G20" i="25"/>
  <c r="F21" i="25" s="1"/>
  <c r="J79" i="9"/>
  <c r="L78" i="9"/>
  <c r="K17" i="24"/>
  <c r="G17" i="24"/>
  <c r="K22" i="25" l="1"/>
  <c r="J22" i="25"/>
  <c r="I26" i="25"/>
  <c r="H26" i="25"/>
  <c r="M22" i="25"/>
  <c r="L22" i="25"/>
  <c r="G21" i="25"/>
  <c r="F22" i="25" s="1"/>
  <c r="L79" i="9"/>
  <c r="J80" i="9"/>
  <c r="AP57" i="9"/>
  <c r="AO57" i="9"/>
  <c r="AH57" i="9"/>
  <c r="AG57" i="9"/>
  <c r="Z57" i="9"/>
  <c r="Y57" i="9"/>
  <c r="R57" i="9"/>
  <c r="J57" i="9"/>
  <c r="AP45" i="9"/>
  <c r="AH45" i="9"/>
  <c r="Z45" i="9"/>
  <c r="R45" i="9"/>
  <c r="J45" i="9"/>
  <c r="M23" i="25" l="1"/>
  <c r="L23" i="25"/>
  <c r="I27" i="25"/>
  <c r="H27" i="25"/>
  <c r="K23" i="25"/>
  <c r="J23" i="25"/>
  <c r="G22" i="25"/>
  <c r="F23" i="25" s="1"/>
  <c r="L80" i="9"/>
  <c r="J81" i="9"/>
  <c r="K24" i="25" l="1"/>
  <c r="J24" i="25"/>
  <c r="I28" i="25"/>
  <c r="H28" i="25"/>
  <c r="M24" i="25"/>
  <c r="L24" i="25"/>
  <c r="G23" i="25"/>
  <c r="F24" i="25" s="1"/>
  <c r="L81" i="9"/>
  <c r="J82" i="9"/>
  <c r="T14" i="1"/>
  <c r="T15" i="1" s="1"/>
  <c r="T16" i="1" s="1"/>
  <c r="M25" i="25" l="1"/>
  <c r="L25" i="25"/>
  <c r="I29" i="25"/>
  <c r="H29" i="25"/>
  <c r="K25" i="25"/>
  <c r="J25" i="25"/>
  <c r="G24" i="25"/>
  <c r="F25" i="25" s="1"/>
  <c r="J83" i="9"/>
  <c r="L82" i="9"/>
  <c r="K26" i="25" l="1"/>
  <c r="J26" i="25"/>
  <c r="I30" i="25"/>
  <c r="H30" i="25"/>
  <c r="M26" i="25"/>
  <c r="L26" i="25"/>
  <c r="G25" i="25"/>
  <c r="F26" i="25" s="1"/>
  <c r="J84" i="9"/>
  <c r="L83" i="9"/>
  <c r="I31" i="25" l="1"/>
  <c r="H31" i="25"/>
  <c r="M27" i="25"/>
  <c r="L27" i="25"/>
  <c r="K27" i="25"/>
  <c r="J27" i="25"/>
  <c r="G26" i="25"/>
  <c r="F27" i="25" s="1"/>
  <c r="L84" i="9"/>
  <c r="J85" i="9"/>
  <c r="M28" i="25" l="1"/>
  <c r="L28" i="25"/>
  <c r="K28" i="25"/>
  <c r="J28" i="25"/>
  <c r="I32" i="25"/>
  <c r="H32" i="25"/>
  <c r="G27" i="25"/>
  <c r="F28" i="25" s="1"/>
  <c r="L85" i="9"/>
  <c r="J86" i="9"/>
  <c r="S14" i="1"/>
  <c r="S15" i="1"/>
  <c r="I33" i="25" l="1"/>
  <c r="H33" i="25"/>
  <c r="K29" i="25"/>
  <c r="J29" i="25"/>
  <c r="M29" i="25"/>
  <c r="L29" i="25"/>
  <c r="G28" i="25"/>
  <c r="F29" i="25" s="1"/>
  <c r="J87" i="9"/>
  <c r="L86" i="9"/>
  <c r="AB13" i="24"/>
  <c r="K30" i="25" l="1"/>
  <c r="J30" i="25"/>
  <c r="M30" i="25"/>
  <c r="L30" i="25"/>
  <c r="I34" i="25"/>
  <c r="H34" i="25"/>
  <c r="G29" i="25"/>
  <c r="F30" i="25" s="1"/>
  <c r="L87" i="9"/>
  <c r="J88" i="9"/>
  <c r="R28" i="24"/>
  <c r="K28" i="24"/>
  <c r="G28" i="24"/>
  <c r="R17" i="24"/>
  <c r="M31" i="25" l="1"/>
  <c r="L31" i="25"/>
  <c r="I35" i="25"/>
  <c r="H35" i="25"/>
  <c r="K31" i="25"/>
  <c r="J31" i="25"/>
  <c r="G30" i="25"/>
  <c r="F31" i="25" s="1"/>
  <c r="L88" i="9"/>
  <c r="J89" i="9"/>
  <c r="K32" i="25" l="1"/>
  <c r="J32" i="25"/>
  <c r="I36" i="25"/>
  <c r="H36" i="25"/>
  <c r="M32" i="25"/>
  <c r="L32" i="25"/>
  <c r="G31" i="25"/>
  <c r="F32" i="25" s="1"/>
  <c r="L89" i="9"/>
  <c r="J90" i="9"/>
  <c r="M33" i="25" l="1"/>
  <c r="L33" i="25"/>
  <c r="I37" i="25"/>
  <c r="H37" i="25"/>
  <c r="K33" i="25"/>
  <c r="J33" i="25"/>
  <c r="G32" i="25"/>
  <c r="F33" i="25" s="1"/>
  <c r="J91" i="9"/>
  <c r="L90" i="9"/>
  <c r="K34" i="25" l="1"/>
  <c r="J34" i="25"/>
  <c r="I38" i="25"/>
  <c r="H38" i="25"/>
  <c r="M34" i="25"/>
  <c r="L34" i="25"/>
  <c r="G33" i="25"/>
  <c r="F34" i="25" s="1"/>
  <c r="L91" i="9"/>
  <c r="J92" i="9"/>
  <c r="M35" i="25" l="1"/>
  <c r="L35" i="25"/>
  <c r="I39" i="25"/>
  <c r="H39" i="25"/>
  <c r="K35" i="25"/>
  <c r="J35" i="25"/>
  <c r="G34" i="25"/>
  <c r="F35" i="25" s="1"/>
  <c r="L92" i="9"/>
  <c r="J93" i="9"/>
  <c r="S13" i="1"/>
  <c r="S12" i="1"/>
  <c r="K36" i="25" l="1"/>
  <c r="J36" i="25"/>
  <c r="I40" i="25"/>
  <c r="H40" i="25"/>
  <c r="M36" i="25"/>
  <c r="L36" i="25"/>
  <c r="G35" i="25"/>
  <c r="F36" i="25" s="1"/>
  <c r="L93" i="9"/>
  <c r="J94" i="9"/>
  <c r="M37" i="25" l="1"/>
  <c r="L37" i="25"/>
  <c r="I41" i="25"/>
  <c r="H41" i="25"/>
  <c r="K37" i="25"/>
  <c r="J37" i="25"/>
  <c r="G36" i="25"/>
  <c r="F37" i="25" s="1"/>
  <c r="J95" i="9"/>
  <c r="L94" i="9"/>
  <c r="K38" i="25" l="1"/>
  <c r="J38" i="25"/>
  <c r="I42" i="25"/>
  <c r="H42" i="25"/>
  <c r="M38" i="25"/>
  <c r="L38" i="25"/>
  <c r="G37" i="25"/>
  <c r="F38" i="25" s="1"/>
  <c r="J96" i="9"/>
  <c r="L95" i="9"/>
  <c r="M39" i="25" l="1"/>
  <c r="L39" i="25"/>
  <c r="I43" i="25"/>
  <c r="H43" i="25"/>
  <c r="K39" i="25"/>
  <c r="J39" i="25"/>
  <c r="G38" i="25"/>
  <c r="F39" i="25" s="1"/>
  <c r="L96" i="9"/>
  <c r="J97" i="9"/>
  <c r="S16" i="1"/>
  <c r="I44" i="25" l="1"/>
  <c r="H44" i="25"/>
  <c r="K40" i="25"/>
  <c r="J40" i="25"/>
  <c r="M40" i="25"/>
  <c r="L40" i="25"/>
  <c r="G39" i="25"/>
  <c r="F40" i="25" s="1"/>
  <c r="L97" i="9"/>
  <c r="J98" i="9"/>
  <c r="M41" i="25" l="1"/>
  <c r="L41" i="25"/>
  <c r="K41" i="25"/>
  <c r="J41" i="25"/>
  <c r="I45" i="25"/>
  <c r="H45" i="25"/>
  <c r="G40" i="25"/>
  <c r="F41" i="25" s="1"/>
  <c r="J99" i="9"/>
  <c r="L98" i="9"/>
  <c r="K42" i="25" l="1"/>
  <c r="J42" i="25"/>
  <c r="I46" i="25"/>
  <c r="H46" i="25"/>
  <c r="M42" i="25"/>
  <c r="L42" i="25"/>
  <c r="G41" i="25"/>
  <c r="F42" i="25" s="1"/>
  <c r="J100" i="9"/>
  <c r="L99" i="9"/>
  <c r="M43" i="25" l="1"/>
  <c r="L43" i="25"/>
  <c r="I47" i="25"/>
  <c r="H47" i="25"/>
  <c r="K43" i="25"/>
  <c r="J43" i="25"/>
  <c r="G42" i="25"/>
  <c r="F43" i="25" s="1"/>
  <c r="L100" i="9"/>
  <c r="J101" i="9"/>
  <c r="K44" i="25" l="1"/>
  <c r="J44" i="25"/>
  <c r="I48" i="25"/>
  <c r="H48" i="25"/>
  <c r="M44" i="25"/>
  <c r="L44" i="25"/>
  <c r="G43" i="25"/>
  <c r="F44" i="25" s="1"/>
  <c r="L101" i="9"/>
  <c r="J102" i="9"/>
  <c r="B4" i="35"/>
  <c r="M45" i="25" l="1"/>
  <c r="L45" i="25"/>
  <c r="I49" i="25"/>
  <c r="H49" i="25"/>
  <c r="K45" i="25"/>
  <c r="J45" i="25"/>
  <c r="G44" i="25"/>
  <c r="F45" i="25" s="1"/>
  <c r="J103" i="9"/>
  <c r="L102" i="9"/>
  <c r="B8" i="25"/>
  <c r="D8" i="25" s="1"/>
  <c r="B9" i="25"/>
  <c r="D9" i="25" s="1"/>
  <c r="D7" i="25"/>
  <c r="K46" i="25" l="1"/>
  <c r="J46" i="25"/>
  <c r="I50" i="25"/>
  <c r="H50" i="25"/>
  <c r="M46" i="25"/>
  <c r="L46" i="25"/>
  <c r="G45" i="25"/>
  <c r="F46" i="25" s="1"/>
  <c r="J104" i="9"/>
  <c r="L103" i="9"/>
  <c r="E8" i="25"/>
  <c r="E7" i="25"/>
  <c r="M47" i="25" l="1"/>
  <c r="L47" i="25"/>
  <c r="I51" i="25"/>
  <c r="H51" i="25"/>
  <c r="K47" i="25"/>
  <c r="J47" i="25"/>
  <c r="G46" i="25"/>
  <c r="F47" i="25" s="1"/>
  <c r="L104" i="9"/>
  <c r="J105" i="9"/>
  <c r="B10" i="25"/>
  <c r="D10" i="25" s="1"/>
  <c r="E9" i="25"/>
  <c r="B3" i="24"/>
  <c r="I52" i="25" l="1"/>
  <c r="H52" i="25"/>
  <c r="K48" i="25"/>
  <c r="J48" i="25"/>
  <c r="M48" i="25"/>
  <c r="L48" i="25"/>
  <c r="G47" i="25"/>
  <c r="F48" i="25" s="1"/>
  <c r="L105" i="9"/>
  <c r="J106" i="9"/>
  <c r="B11" i="25"/>
  <c r="D11" i="25" s="1"/>
  <c r="E10" i="25"/>
  <c r="K49" i="25" l="1"/>
  <c r="J49" i="25"/>
  <c r="M49" i="25"/>
  <c r="L49" i="25"/>
  <c r="I53" i="25"/>
  <c r="H53" i="25"/>
  <c r="G48" i="25"/>
  <c r="F49" i="25" s="1"/>
  <c r="J107" i="9"/>
  <c r="L106" i="9"/>
  <c r="B12" i="25"/>
  <c r="D69" i="9"/>
  <c r="M50" i="25" l="1"/>
  <c r="L50" i="25"/>
  <c r="K50" i="25"/>
  <c r="J50" i="25"/>
  <c r="G49" i="25"/>
  <c r="F50" i="25" s="1"/>
  <c r="J108" i="9"/>
  <c r="L107" i="9"/>
  <c r="A8" i="25"/>
  <c r="D73" i="9"/>
  <c r="D70" i="9"/>
  <c r="D72" i="9"/>
  <c r="D71" i="9"/>
  <c r="AF42" i="1"/>
  <c r="AF41" i="1"/>
  <c r="Z42" i="1"/>
  <c r="Z41" i="1"/>
  <c r="N42" i="1"/>
  <c r="N41" i="1"/>
  <c r="AF28" i="1"/>
  <c r="AF27" i="1"/>
  <c r="Z28" i="1"/>
  <c r="Z27" i="1"/>
  <c r="K51" i="25" l="1"/>
  <c r="J51" i="25"/>
  <c r="M51" i="25"/>
  <c r="L51" i="25"/>
  <c r="G50" i="25"/>
  <c r="F51" i="25" s="1"/>
  <c r="W8" i="1"/>
  <c r="L108" i="9"/>
  <c r="J109" i="9"/>
  <c r="A9" i="25"/>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D74" i="9"/>
  <c r="B22" i="26" l="1"/>
  <c r="B21" i="26"/>
  <c r="M52" i="25"/>
  <c r="L52" i="25"/>
  <c r="K52" i="25"/>
  <c r="J52" i="25"/>
  <c r="G51" i="25"/>
  <c r="F52" i="25" s="1"/>
  <c r="W10" i="1"/>
  <c r="L109" i="9"/>
  <c r="J110" i="9"/>
  <c r="D75" i="9"/>
  <c r="AP27" i="9"/>
  <c r="AH27" i="9"/>
  <c r="Z27" i="9"/>
  <c r="R27" i="9"/>
  <c r="J27" i="9"/>
  <c r="AF30" i="53" l="1"/>
  <c r="AD30" i="53"/>
  <c r="AD30" i="51"/>
  <c r="AF30" i="51"/>
  <c r="AB30" i="53"/>
  <c r="AB30" i="51"/>
  <c r="AB30" i="50"/>
  <c r="AF30" i="50"/>
  <c r="AD30" i="50"/>
  <c r="N44" i="53"/>
  <c r="L44" i="53"/>
  <c r="N44" i="51"/>
  <c r="J44" i="53"/>
  <c r="L44" i="51"/>
  <c r="J44" i="51"/>
  <c r="N44" i="50"/>
  <c r="L44" i="50"/>
  <c r="J44" i="50"/>
  <c r="AF44" i="53"/>
  <c r="AF44" i="51"/>
  <c r="AD44" i="53"/>
  <c r="AD44" i="51"/>
  <c r="AB44" i="53"/>
  <c r="AB44" i="51"/>
  <c r="AB44" i="50"/>
  <c r="AF44" i="50"/>
  <c r="AD44" i="50"/>
  <c r="Z30" i="53"/>
  <c r="V30" i="53"/>
  <c r="Z30" i="51"/>
  <c r="P30" i="51"/>
  <c r="P30" i="53"/>
  <c r="V30" i="51"/>
  <c r="Z30" i="50"/>
  <c r="V30" i="50"/>
  <c r="P30" i="50"/>
  <c r="P44" i="51"/>
  <c r="Z44" i="53"/>
  <c r="V44" i="53"/>
  <c r="Z44" i="51"/>
  <c r="P44" i="53"/>
  <c r="V44" i="51"/>
  <c r="Z44" i="50"/>
  <c r="V44" i="50"/>
  <c r="P44" i="50"/>
  <c r="K53" i="25"/>
  <c r="J53" i="25"/>
  <c r="M53" i="25"/>
  <c r="L53" i="25"/>
  <c r="G52" i="25"/>
  <c r="F53" i="25" s="1"/>
  <c r="J111" i="9"/>
  <c r="L110" i="9"/>
  <c r="D76" i="9"/>
  <c r="A69" i="9"/>
  <c r="A70" i="9" s="1"/>
  <c r="A71" i="9" s="1"/>
  <c r="A72" i="9" s="1"/>
  <c r="Z44" i="1"/>
  <c r="V44" i="1"/>
  <c r="P44" i="1"/>
  <c r="Z30" i="1"/>
  <c r="V30" i="1"/>
  <c r="P30" i="1"/>
  <c r="AD30" i="1"/>
  <c r="AB30" i="1"/>
  <c r="AF30" i="1"/>
  <c r="N44" i="1"/>
  <c r="L44" i="1"/>
  <c r="J44" i="1"/>
  <c r="AF44" i="1"/>
  <c r="AD44" i="1"/>
  <c r="AB44" i="1"/>
  <c r="G53" i="25" l="1"/>
  <c r="B17" i="25"/>
  <c r="J112" i="9"/>
  <c r="L111" i="9"/>
  <c r="C17" i="25"/>
  <c r="E16" i="25"/>
  <c r="D77" i="9"/>
  <c r="A73" i="9"/>
  <c r="A74" i="9" s="1"/>
  <c r="A75" i="9" s="1"/>
  <c r="A76" i="9" s="1"/>
  <c r="AJ77" i="9" l="1"/>
  <c r="AI77" i="9"/>
  <c r="D17" i="25"/>
  <c r="B18" i="25"/>
  <c r="L112" i="9"/>
  <c r="J113" i="9"/>
  <c r="C18" i="25"/>
  <c r="E17" i="25"/>
  <c r="C78" i="9"/>
  <c r="D78" i="9" s="1"/>
  <c r="A77" i="9"/>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I78" i="9" l="1"/>
  <c r="AJ78" i="9"/>
  <c r="D18" i="25"/>
  <c r="B19" i="25"/>
  <c r="L113" i="9"/>
  <c r="J114" i="9"/>
  <c r="C19" i="25"/>
  <c r="E18" i="25"/>
  <c r="C79" i="9"/>
  <c r="D79" i="9" s="1"/>
  <c r="AJ79" i="9" l="1"/>
  <c r="AI79" i="9"/>
  <c r="D19" i="25"/>
  <c r="B20" i="25"/>
  <c r="J115" i="9"/>
  <c r="L114" i="9"/>
  <c r="C20" i="25"/>
  <c r="E19" i="25"/>
  <c r="C80" i="9"/>
  <c r="D80" i="9" s="1"/>
  <c r="AJ80" i="9" l="1"/>
  <c r="AI80" i="9"/>
  <c r="D20" i="25"/>
  <c r="B21" i="25"/>
  <c r="J116" i="9"/>
  <c r="L115" i="9"/>
  <c r="C21" i="25"/>
  <c r="E20" i="25"/>
  <c r="C81" i="9"/>
  <c r="D81" i="9" s="1"/>
  <c r="AJ81" i="9" l="1"/>
  <c r="AI81" i="9"/>
  <c r="D21" i="25"/>
  <c r="B22" i="25"/>
  <c r="L116" i="9"/>
  <c r="J117" i="9"/>
  <c r="C22" i="25"/>
  <c r="E21" i="25"/>
  <c r="C82" i="9"/>
  <c r="D82" i="9" s="1"/>
  <c r="AJ82" i="9" l="1"/>
  <c r="AI82" i="9"/>
  <c r="D22" i="25"/>
  <c r="B23" i="25"/>
  <c r="L117" i="9"/>
  <c r="J118" i="9"/>
  <c r="C23" i="25"/>
  <c r="E22" i="25"/>
  <c r="C83" i="9"/>
  <c r="D83" i="9" s="1"/>
  <c r="AI83" i="9" l="1"/>
  <c r="AJ83" i="9"/>
  <c r="D23" i="25"/>
  <c r="B24" i="25"/>
  <c r="D24" i="25" s="1"/>
  <c r="J119" i="9"/>
  <c r="L118" i="9"/>
  <c r="C24" i="25"/>
  <c r="B25" i="25" s="1"/>
  <c r="E23" i="25"/>
  <c r="C84" i="9"/>
  <c r="D84" i="9" s="1"/>
  <c r="AJ84" i="9" l="1"/>
  <c r="AI84" i="9"/>
  <c r="J120" i="9"/>
  <c r="L119" i="9"/>
  <c r="C25" i="25"/>
  <c r="B26" i="25" s="1"/>
  <c r="D25" i="25"/>
  <c r="E24" i="25"/>
  <c r="C85" i="9"/>
  <c r="D85" i="9" s="1"/>
  <c r="AI85" i="9" l="1"/>
  <c r="AJ85" i="9"/>
  <c r="L120" i="9"/>
  <c r="J121" i="9"/>
  <c r="C26" i="25"/>
  <c r="B27" i="25" s="1"/>
  <c r="D26" i="25"/>
  <c r="E25" i="25"/>
  <c r="C86" i="9"/>
  <c r="D86" i="9" s="1"/>
  <c r="AI86" i="9" l="1"/>
  <c r="AJ86" i="9"/>
  <c r="L121" i="9"/>
  <c r="J122" i="9"/>
  <c r="C27" i="25"/>
  <c r="E26" i="25"/>
  <c r="C87" i="9"/>
  <c r="D87" i="9" s="1"/>
  <c r="AJ87" i="9" l="1"/>
  <c r="AI87" i="9"/>
  <c r="D27" i="25"/>
  <c r="B28" i="25"/>
  <c r="J123" i="9"/>
  <c r="L122" i="9"/>
  <c r="C28" i="25"/>
  <c r="E27" i="25"/>
  <c r="C88" i="9"/>
  <c r="D88" i="9" s="1"/>
  <c r="AJ88" i="9" l="1"/>
  <c r="AI88" i="9"/>
  <c r="D28" i="25"/>
  <c r="B29" i="25"/>
  <c r="L123" i="9"/>
  <c r="J124" i="9"/>
  <c r="L124" i="9" s="1"/>
  <c r="C29" i="25"/>
  <c r="E28" i="25"/>
  <c r="C89" i="9"/>
  <c r="D89" i="9" s="1"/>
  <c r="AJ89" i="9" l="1"/>
  <c r="AI89" i="9"/>
  <c r="D29" i="25"/>
  <c r="B30" i="25"/>
  <c r="D30" i="25" s="1"/>
  <c r="C30" i="25"/>
  <c r="B31" i="25" s="1"/>
  <c r="E29" i="25"/>
  <c r="C90" i="9"/>
  <c r="D90" i="9" s="1"/>
  <c r="D63" i="25"/>
  <c r="D64" i="25"/>
  <c r="D65" i="25"/>
  <c r="D66" i="25"/>
  <c r="D67" i="25"/>
  <c r="D68" i="25"/>
  <c r="D69" i="25"/>
  <c r="D70" i="25"/>
  <c r="D71" i="25"/>
  <c r="D72" i="25"/>
  <c r="D73" i="25"/>
  <c r="D74" i="25"/>
  <c r="D75" i="25"/>
  <c r="D76" i="25"/>
  <c r="D77" i="25"/>
  <c r="D78" i="25"/>
  <c r="D62" i="25"/>
  <c r="D61" i="25"/>
  <c r="AJ90" i="9" l="1"/>
  <c r="AI90" i="9"/>
  <c r="C31" i="25"/>
  <c r="B32" i="25" s="1"/>
  <c r="E30" i="25"/>
  <c r="D31" i="25"/>
  <c r="C91" i="9"/>
  <c r="D91" i="9" s="1"/>
  <c r="AI91" i="9" l="1"/>
  <c r="AJ91" i="9"/>
  <c r="C32" i="25"/>
  <c r="E31" i="25"/>
  <c r="C92" i="9"/>
  <c r="D92" i="9" s="1"/>
  <c r="AJ92" i="9" l="1"/>
  <c r="AI92" i="9"/>
  <c r="D32" i="25"/>
  <c r="B33" i="25"/>
  <c r="C33" i="25"/>
  <c r="B34" i="25" s="1"/>
  <c r="E32" i="25"/>
  <c r="D33" i="25"/>
  <c r="C93" i="9"/>
  <c r="D93" i="9" s="1"/>
  <c r="AI93" i="9" l="1"/>
  <c r="AJ93" i="9"/>
  <c r="C34" i="25"/>
  <c r="B35" i="25" s="1"/>
  <c r="E33" i="25"/>
  <c r="D34" i="25"/>
  <c r="C94" i="9"/>
  <c r="D94" i="9" s="1"/>
  <c r="AI94" i="9" l="1"/>
  <c r="AJ94" i="9"/>
  <c r="C35" i="25"/>
  <c r="B36" i="25" s="1"/>
  <c r="E34" i="25"/>
  <c r="D35" i="25"/>
  <c r="C95" i="9"/>
  <c r="D95" i="9" s="1"/>
  <c r="AJ95" i="9" l="1"/>
  <c r="AI95" i="9"/>
  <c r="C36" i="25"/>
  <c r="B37" i="25" s="1"/>
  <c r="E35" i="25"/>
  <c r="D36" i="25"/>
  <c r="C96" i="9"/>
  <c r="D96" i="9" s="1"/>
  <c r="AJ96" i="9" l="1"/>
  <c r="AI96" i="9"/>
  <c r="C37" i="25"/>
  <c r="E36" i="25"/>
  <c r="C97" i="9"/>
  <c r="D97" i="9" s="1"/>
  <c r="AJ97" i="9" l="1"/>
  <c r="AI97" i="9"/>
  <c r="D37" i="25"/>
  <c r="B38" i="25"/>
  <c r="C38" i="25"/>
  <c r="B39" i="25" s="1"/>
  <c r="E37" i="25"/>
  <c r="D38" i="25"/>
  <c r="C98" i="9"/>
  <c r="D98" i="9" s="1"/>
  <c r="AJ98" i="9" l="1"/>
  <c r="AI98" i="9"/>
  <c r="C39" i="25"/>
  <c r="B40" i="25" s="1"/>
  <c r="D39" i="25"/>
  <c r="E38" i="25"/>
  <c r="C99" i="9"/>
  <c r="D99" i="9" s="1"/>
  <c r="AI99" i="9" l="1"/>
  <c r="AJ99" i="9"/>
  <c r="C40" i="25"/>
  <c r="B41" i="25" s="1"/>
  <c r="E39" i="25"/>
  <c r="D40" i="25"/>
  <c r="C100" i="9"/>
  <c r="D100" i="9" s="1"/>
  <c r="AJ100" i="9" l="1"/>
  <c r="AI100" i="9"/>
  <c r="C41" i="25"/>
  <c r="B42" i="25" s="1"/>
  <c r="E40" i="25"/>
  <c r="D41" i="25"/>
  <c r="C101" i="9"/>
  <c r="D101" i="9" s="1"/>
  <c r="AI101" i="9" l="1"/>
  <c r="AJ101" i="9"/>
  <c r="C42" i="25"/>
  <c r="B43" i="25" s="1"/>
  <c r="E41" i="25"/>
  <c r="D42" i="25"/>
  <c r="C102" i="9"/>
  <c r="D102" i="9" s="1"/>
  <c r="AI102" i="9" l="1"/>
  <c r="AJ102" i="9"/>
  <c r="C43" i="25"/>
  <c r="B44" i="25" s="1"/>
  <c r="D43" i="25"/>
  <c r="E42" i="25"/>
  <c r="C103" i="9"/>
  <c r="D103" i="9" s="1"/>
  <c r="AJ103" i="9" l="1"/>
  <c r="AI103" i="9"/>
  <c r="C44" i="25"/>
  <c r="B45" i="25" s="1"/>
  <c r="E43" i="25"/>
  <c r="D44" i="25"/>
  <c r="C104" i="9"/>
  <c r="D104" i="9" s="1"/>
  <c r="AJ104" i="9" l="1"/>
  <c r="AI104" i="9"/>
  <c r="C45" i="25"/>
  <c r="B46" i="25" s="1"/>
  <c r="D45" i="25"/>
  <c r="E44" i="25"/>
  <c r="C105" i="9"/>
  <c r="D105" i="9" s="1"/>
  <c r="AJ105" i="9" l="1"/>
  <c r="AI105" i="9"/>
  <c r="C46" i="25"/>
  <c r="E45" i="25"/>
  <c r="C106" i="9"/>
  <c r="D106" i="9" s="1"/>
  <c r="AJ106" i="9" l="1"/>
  <c r="AI106" i="9"/>
  <c r="D46" i="25"/>
  <c r="B47" i="25"/>
  <c r="D47" i="25" s="1"/>
  <c r="C47" i="25"/>
  <c r="B48" i="25" s="1"/>
  <c r="E46" i="25"/>
  <c r="C107" i="9"/>
  <c r="D107" i="9" s="1"/>
  <c r="AI107" i="9" l="1"/>
  <c r="AJ107" i="9"/>
  <c r="C48" i="25"/>
  <c r="E47" i="25"/>
  <c r="C108" i="9"/>
  <c r="D108" i="9" s="1"/>
  <c r="AJ108" i="9" l="1"/>
  <c r="AI108" i="9"/>
  <c r="D48" i="25"/>
  <c r="B49" i="25"/>
  <c r="C49" i="25"/>
  <c r="E48" i="25"/>
  <c r="C109" i="9"/>
  <c r="D109" i="9" s="1"/>
  <c r="AI109" i="9" l="1"/>
  <c r="AJ109" i="9"/>
  <c r="D49" i="25"/>
  <c r="B50" i="25"/>
  <c r="C50" i="25"/>
  <c r="E49" i="25"/>
  <c r="C110" i="9"/>
  <c r="D110" i="9" s="1"/>
  <c r="AF37" i="1"/>
  <c r="Z37" i="1"/>
  <c r="N37" i="1"/>
  <c r="AF23" i="1"/>
  <c r="Z23" i="1"/>
  <c r="N23" i="1"/>
  <c r="AI110" i="9" l="1"/>
  <c r="AJ110" i="9"/>
  <c r="Q110" i="53"/>
  <c r="D50" i="25"/>
  <c r="B51" i="25"/>
  <c r="C51" i="25"/>
  <c r="E50" i="25"/>
  <c r="C111" i="9"/>
  <c r="D111" i="9" s="1"/>
  <c r="AJ111" i="9" l="1"/>
  <c r="AI111" i="9"/>
  <c r="D51" i="25"/>
  <c r="B52" i="25"/>
  <c r="D52" i="25" s="1"/>
  <c r="C52" i="25"/>
  <c r="B53" i="25" s="1"/>
  <c r="E51" i="25"/>
  <c r="C112" i="9"/>
  <c r="D112" i="9" s="1"/>
  <c r="AD21" i="24"/>
  <c r="AD20" i="24"/>
  <c r="AD19" i="24"/>
  <c r="AD18" i="24"/>
  <c r="AD17" i="24"/>
  <c r="AD16" i="24"/>
  <c r="AD14" i="24"/>
  <c r="AJ112" i="9" l="1"/>
  <c r="AI112" i="9"/>
  <c r="AD13" i="24"/>
  <c r="C53" i="25"/>
  <c r="E52" i="25"/>
  <c r="C113" i="9"/>
  <c r="D113" i="9" s="1"/>
  <c r="AJ113" i="9" l="1"/>
  <c r="AI113" i="9"/>
  <c r="E53" i="25"/>
  <c r="D53" i="25"/>
  <c r="C114" i="9"/>
  <c r="D114" i="9" s="1"/>
  <c r="AJ114" i="9" l="1"/>
  <c r="AI114" i="9"/>
  <c r="C115" i="9"/>
  <c r="D115" i="9" s="1"/>
  <c r="AJ115" i="9" l="1"/>
  <c r="AI115" i="9"/>
  <c r="C116" i="9"/>
  <c r="D116" i="9" s="1"/>
  <c r="AJ116" i="9" l="1"/>
  <c r="AI116" i="9"/>
  <c r="C117" i="9"/>
  <c r="D117" i="9" s="1"/>
  <c r="AJ117" i="9" l="1"/>
  <c r="AI117" i="9"/>
  <c r="C118" i="9"/>
  <c r="D118" i="9" s="1"/>
  <c r="AI118" i="9" l="1"/>
  <c r="AJ118" i="9"/>
  <c r="C119" i="9"/>
  <c r="D119" i="9" s="1"/>
  <c r="AJ119" i="9" l="1"/>
  <c r="AI119" i="9"/>
  <c r="C120" i="9"/>
  <c r="D120" i="9" s="1"/>
  <c r="AJ120" i="9" l="1"/>
  <c r="AI120" i="9"/>
  <c r="C121" i="9"/>
  <c r="D121" i="9" s="1"/>
  <c r="AE13" i="24"/>
  <c r="AJ121" i="9" l="1"/>
  <c r="AI121" i="9"/>
  <c r="C122" i="9"/>
  <c r="D122" i="9" s="1"/>
  <c r="AJ122" i="9" l="1"/>
  <c r="AI122" i="9"/>
  <c r="C123" i="9"/>
  <c r="D123" i="9" s="1"/>
  <c r="C124" i="9"/>
  <c r="D124" i="9" s="1"/>
  <c r="AJ124" i="9" l="1"/>
  <c r="AI124" i="9"/>
  <c r="AI123" i="9"/>
  <c r="AJ123" i="9"/>
  <c r="AF38" i="1"/>
  <c r="Z38" i="1"/>
  <c r="N38" i="1"/>
  <c r="AF24" i="1"/>
  <c r="Z24" i="1"/>
  <c r="N24" i="1"/>
  <c r="AG37" i="1" l="1"/>
  <c r="AA37" i="1"/>
  <c r="O37" i="1"/>
  <c r="AG23" i="1"/>
  <c r="AA23" i="1"/>
  <c r="O23" i="1"/>
  <c r="F57" i="1" s="1"/>
  <c r="F64" i="1" l="1"/>
  <c r="AK84" i="1"/>
  <c r="U84" i="1"/>
  <c r="F84" i="1"/>
  <c r="AK64" i="1"/>
  <c r="U57" i="1"/>
  <c r="F67" i="1" l="1"/>
  <c r="U68" i="1" l="1"/>
  <c r="U67" i="1"/>
  <c r="U66" i="1"/>
  <c r="U65" i="1"/>
  <c r="F80" i="1" l="1"/>
  <c r="AK65" i="1"/>
  <c r="AK67" i="1"/>
  <c r="F86" i="1" l="1"/>
  <c r="U80" i="1"/>
  <c r="F87" i="1"/>
  <c r="F88" i="1"/>
  <c r="U86" i="1" l="1"/>
  <c r="AK80" i="1"/>
  <c r="U85" i="1"/>
  <c r="U77" i="1"/>
  <c r="U87" i="1"/>
  <c r="AK87" i="1" l="1"/>
  <c r="AK85" i="1"/>
  <c r="C25" i="22" l="1"/>
  <c r="U58" i="1" l="1"/>
  <c r="U60" i="1"/>
  <c r="U62" i="1"/>
  <c r="AK60" i="1"/>
  <c r="F60" i="1"/>
  <c r="F58" i="1"/>
  <c r="F63" i="1"/>
  <c r="AK81" i="1"/>
  <c r="AK82" i="1"/>
  <c r="AK79" i="1"/>
  <c r="AK77" i="1"/>
  <c r="AK83" i="1"/>
  <c r="AK88" i="1"/>
  <c r="AK86" i="1"/>
  <c r="AK78" i="1"/>
  <c r="U82" i="1"/>
  <c r="U81" i="1"/>
  <c r="U79" i="1"/>
  <c r="U88" i="1"/>
  <c r="U78" i="1"/>
  <c r="U83" i="1"/>
  <c r="F78" i="1"/>
  <c r="F83" i="1"/>
  <c r="F77" i="1"/>
  <c r="F85" i="1"/>
  <c r="F81" i="1"/>
  <c r="F79" i="1"/>
  <c r="F82" i="1"/>
  <c r="AK61" i="1"/>
  <c r="AK59" i="1"/>
  <c r="AK62" i="1"/>
  <c r="AK58" i="1"/>
  <c r="AK66" i="1"/>
  <c r="AK57" i="1"/>
  <c r="AK68" i="1"/>
  <c r="AK63" i="1"/>
  <c r="U61" i="1"/>
  <c r="U63" i="1"/>
  <c r="U64" i="1"/>
  <c r="U59" i="1"/>
  <c r="F65" i="1"/>
  <c r="F68" i="1"/>
  <c r="F61" i="1"/>
  <c r="F66" i="1"/>
  <c r="F62" i="1"/>
  <c r="F59" i="1"/>
  <c r="J20" i="1"/>
  <c r="L22" i="1" s="1"/>
  <c r="L26" i="1" s="1"/>
  <c r="B25" i="33" l="1"/>
  <c r="B26" i="33" s="1"/>
  <c r="B27" i="33" s="1"/>
  <c r="B28" i="33" s="1"/>
  <c r="B29" i="33" s="1"/>
  <c r="B30" i="33" s="1"/>
  <c r="J22" i="1"/>
  <c r="J25" i="1" s="1"/>
  <c r="K22" i="1"/>
  <c r="M22" i="1"/>
  <c r="M23" i="1" s="1"/>
  <c r="Z104" i="1"/>
  <c r="AA104" i="1" s="1"/>
  <c r="AB104" i="1" s="1"/>
  <c r="AC104" i="1" s="1"/>
  <c r="AD104" i="1" s="1"/>
  <c r="AE104" i="1" s="1"/>
  <c r="B56" i="1"/>
  <c r="P20" i="1"/>
  <c r="A3" i="3"/>
  <c r="L25" i="1"/>
  <c r="G1" i="9"/>
  <c r="B37" i="9" s="1"/>
  <c r="C57" i="1" l="1"/>
  <c r="E57" i="1" s="1"/>
  <c r="L23" i="1"/>
  <c r="J23" i="1"/>
  <c r="J31" i="1"/>
  <c r="P25" i="1"/>
  <c r="V22" i="1"/>
  <c r="W22" i="1"/>
  <c r="P22" i="1"/>
  <c r="P26" i="1" s="1"/>
  <c r="B14" i="3"/>
  <c r="F9" i="3"/>
  <c r="D20" i="3"/>
  <c r="D19" i="3"/>
  <c r="G7" i="3"/>
  <c r="B22" i="3"/>
  <c r="D13" i="3"/>
  <c r="C11" i="3"/>
  <c r="G9" i="3"/>
  <c r="F13" i="3"/>
  <c r="G23" i="3"/>
  <c r="G19" i="3"/>
  <c r="F6" i="3"/>
  <c r="C18" i="3"/>
  <c r="G21" i="3"/>
  <c r="F17" i="3"/>
  <c r="B6" i="3"/>
  <c r="B8" i="3"/>
  <c r="D16" i="3"/>
  <c r="E6" i="3"/>
  <c r="G15" i="3"/>
  <c r="F8" i="3"/>
  <c r="D15" i="3"/>
  <c r="E7" i="3"/>
  <c r="F11" i="3"/>
  <c r="F22" i="3"/>
  <c r="G11" i="3"/>
  <c r="F19" i="3"/>
  <c r="D14" i="3"/>
  <c r="G18" i="3"/>
  <c r="D23" i="3"/>
  <c r="C24" i="3"/>
  <c r="B23" i="3"/>
  <c r="C7" i="3"/>
  <c r="I3" i="3"/>
  <c r="J6" i="3" s="1"/>
  <c r="F23" i="3"/>
  <c r="E14" i="3"/>
  <c r="G22" i="3"/>
  <c r="F21" i="3"/>
  <c r="B12" i="3"/>
  <c r="F10" i="3"/>
  <c r="E19" i="3"/>
  <c r="E15" i="3"/>
  <c r="E24" i="3"/>
  <c r="F14" i="3"/>
  <c r="G20" i="3"/>
  <c r="C23" i="3"/>
  <c r="E13" i="3"/>
  <c r="B20" i="3"/>
  <c r="C17" i="3"/>
  <c r="E21" i="3"/>
  <c r="F16" i="3"/>
  <c r="B16" i="3"/>
  <c r="E23" i="3"/>
  <c r="D22" i="3"/>
  <c r="B9" i="3"/>
  <c r="F12" i="3"/>
  <c r="C22" i="3"/>
  <c r="B18" i="3"/>
  <c r="C12" i="3"/>
  <c r="E22" i="3"/>
  <c r="E20" i="3"/>
  <c r="G8" i="3"/>
  <c r="C6" i="3"/>
  <c r="E8" i="3"/>
  <c r="D12" i="3"/>
  <c r="C10" i="3"/>
  <c r="F18" i="3"/>
  <c r="D6" i="3"/>
  <c r="B13" i="3"/>
  <c r="C16" i="3"/>
  <c r="B11" i="3"/>
  <c r="G24" i="3"/>
  <c r="D11" i="3"/>
  <c r="F7" i="3"/>
  <c r="E9" i="3"/>
  <c r="C13" i="3"/>
  <c r="G17" i="3"/>
  <c r="G14" i="3"/>
  <c r="C9" i="3"/>
  <c r="E11" i="3"/>
  <c r="B15" i="3"/>
  <c r="G12" i="3"/>
  <c r="B19" i="3"/>
  <c r="E12" i="3"/>
  <c r="G10" i="3"/>
  <c r="G13" i="3"/>
  <c r="D9" i="3"/>
  <c r="D17" i="3"/>
  <c r="E10" i="3"/>
  <c r="D7" i="3"/>
  <c r="E16" i="3"/>
  <c r="F15" i="3"/>
  <c r="C20" i="3"/>
  <c r="B24" i="3"/>
  <c r="E17" i="3"/>
  <c r="C8" i="3"/>
  <c r="D18" i="3"/>
  <c r="C21" i="3"/>
  <c r="F24" i="3"/>
  <c r="B7" i="3"/>
  <c r="G16" i="3"/>
  <c r="G6" i="3"/>
  <c r="B21" i="3"/>
  <c r="C14" i="3"/>
  <c r="D8" i="3"/>
  <c r="C15" i="3"/>
  <c r="D24" i="3"/>
  <c r="C19" i="3"/>
  <c r="B17" i="3"/>
  <c r="F20" i="3"/>
  <c r="E18" i="3"/>
  <c r="B10" i="3"/>
  <c r="D21" i="3"/>
  <c r="D10" i="3"/>
  <c r="L27" i="1"/>
  <c r="P31" i="1"/>
  <c r="Q22" i="1"/>
  <c r="AB20" i="1"/>
  <c r="C58" i="1"/>
  <c r="C65" i="1"/>
  <c r="C62" i="1"/>
  <c r="C68" i="1"/>
  <c r="C59" i="1"/>
  <c r="C60" i="1"/>
  <c r="C66" i="1"/>
  <c r="C61" i="1"/>
  <c r="C67" i="1"/>
  <c r="C63" i="1"/>
  <c r="C64" i="1"/>
  <c r="P56" i="1"/>
  <c r="B21" i="9"/>
  <c r="C10" i="9"/>
  <c r="D8" i="9"/>
  <c r="F13" i="9"/>
  <c r="D6" i="9"/>
  <c r="F19" i="9"/>
  <c r="G16" i="9"/>
  <c r="E9" i="9"/>
  <c r="E5" i="9"/>
  <c r="C16" i="9"/>
  <c r="E21" i="9"/>
  <c r="G19" i="9"/>
  <c r="E10" i="9"/>
  <c r="G5" i="9"/>
  <c r="G14" i="9"/>
  <c r="D14" i="9"/>
  <c r="C18" i="9"/>
  <c r="F8" i="9"/>
  <c r="C17" i="9"/>
  <c r="B8" i="9"/>
  <c r="C14" i="9"/>
  <c r="F7" i="9"/>
  <c r="G9" i="9"/>
  <c r="C11" i="9"/>
  <c r="F21" i="9"/>
  <c r="B12" i="9"/>
  <c r="F17" i="9"/>
  <c r="C13" i="9"/>
  <c r="D9" i="9"/>
  <c r="B11" i="9"/>
  <c r="B19" i="9"/>
  <c r="F11" i="9"/>
  <c r="D5" i="9"/>
  <c r="B13" i="9"/>
  <c r="E19" i="9"/>
  <c r="G10" i="9"/>
  <c r="F16" i="9"/>
  <c r="G8" i="9"/>
  <c r="B7" i="9"/>
  <c r="D4" i="9"/>
  <c r="D21" i="9"/>
  <c r="D15" i="9"/>
  <c r="D7" i="9"/>
  <c r="E22" i="9"/>
  <c r="B5" i="9"/>
  <c r="G12" i="9"/>
  <c r="E18" i="9"/>
  <c r="C9" i="9"/>
  <c r="D19" i="9"/>
  <c r="C20" i="9"/>
  <c r="D12" i="9"/>
  <c r="E7" i="9"/>
  <c r="E13" i="9"/>
  <c r="B6" i="9"/>
  <c r="G20" i="9"/>
  <c r="C5" i="9"/>
  <c r="C19" i="9"/>
  <c r="G21" i="9"/>
  <c r="D18" i="9"/>
  <c r="F5" i="9"/>
  <c r="L28" i="1" s="1"/>
  <c r="B9" i="9"/>
  <c r="F18" i="9"/>
  <c r="C4" i="9"/>
  <c r="C12" i="9"/>
  <c r="E20" i="9"/>
  <c r="G15" i="9"/>
  <c r="E8" i="9"/>
  <c r="B15" i="9"/>
  <c r="G11" i="9"/>
  <c r="B22" i="9"/>
  <c r="E15" i="9"/>
  <c r="C15" i="9"/>
  <c r="E54" i="9"/>
  <c r="B16" i="9"/>
  <c r="F10" i="9"/>
  <c r="F15" i="9"/>
  <c r="E17" i="9"/>
  <c r="F20" i="9"/>
  <c r="B10" i="9"/>
  <c r="B4" i="9"/>
  <c r="G13" i="9"/>
  <c r="F22" i="9"/>
  <c r="G17" i="9"/>
  <c r="E49" i="9"/>
  <c r="G22" i="9"/>
  <c r="F4" i="9"/>
  <c r="G7" i="9"/>
  <c r="F6" i="9"/>
  <c r="D20" i="9"/>
  <c r="E50" i="9"/>
  <c r="B20" i="9"/>
  <c r="E16" i="9"/>
  <c r="G6" i="9"/>
  <c r="F14" i="9"/>
  <c r="D17" i="9"/>
  <c r="G18" i="9"/>
  <c r="F12" i="9"/>
  <c r="E11" i="9"/>
  <c r="D22" i="9"/>
  <c r="D16" i="9"/>
  <c r="D10" i="9"/>
  <c r="C8" i="9"/>
  <c r="C21" i="9"/>
  <c r="G4" i="9"/>
  <c r="E12" i="9"/>
  <c r="B14" i="9"/>
  <c r="E14" i="9"/>
  <c r="B42" i="9"/>
  <c r="D13" i="9"/>
  <c r="C7" i="9"/>
  <c r="B17" i="9"/>
  <c r="C6" i="9"/>
  <c r="D11" i="9"/>
  <c r="E6" i="9"/>
  <c r="C22" i="9"/>
  <c r="B18" i="9"/>
  <c r="F9" i="9"/>
  <c r="E4" i="9"/>
  <c r="E52" i="9"/>
  <c r="C32" i="9"/>
  <c r="D32" i="9"/>
  <c r="B49" i="9"/>
  <c r="B62" i="9"/>
  <c r="O1" i="9"/>
  <c r="J37" i="9" s="1"/>
  <c r="B51" i="9"/>
  <c r="B50" i="9"/>
  <c r="B54" i="9"/>
  <c r="D54" i="9" s="1"/>
  <c r="B32" i="9"/>
  <c r="E51" i="9"/>
  <c r="B52" i="9"/>
  <c r="E53" i="9"/>
  <c r="F53" i="9" s="1"/>
  <c r="J27" i="51" l="1"/>
  <c r="L27" i="51"/>
  <c r="L31" i="51" s="1"/>
  <c r="L27" i="53"/>
  <c r="L31" i="53" s="1"/>
  <c r="L27" i="50"/>
  <c r="L31" i="50" s="1"/>
  <c r="J28" i="51"/>
  <c r="G55" i="1"/>
  <c r="C25" i="33" s="1"/>
  <c r="J27" i="1"/>
  <c r="J27" i="53"/>
  <c r="J27" i="50"/>
  <c r="J28" i="50"/>
  <c r="J28" i="53"/>
  <c r="D59" i="1"/>
  <c r="D64" i="1"/>
  <c r="E64" i="1" s="1"/>
  <c r="D68" i="1"/>
  <c r="E68" i="1" s="1"/>
  <c r="D63" i="1"/>
  <c r="E63" i="1" s="1"/>
  <c r="D62" i="1"/>
  <c r="D67" i="1"/>
  <c r="E67" i="1" s="1"/>
  <c r="D65" i="1"/>
  <c r="E65" i="1" s="1"/>
  <c r="D58" i="1"/>
  <c r="J28" i="1"/>
  <c r="D66" i="1"/>
  <c r="E66" i="1" s="1"/>
  <c r="D60" i="1"/>
  <c r="L31" i="1"/>
  <c r="V23" i="1"/>
  <c r="W23" i="1"/>
  <c r="T57" i="1"/>
  <c r="V25" i="1"/>
  <c r="T60" i="1"/>
  <c r="V26" i="1"/>
  <c r="T59" i="1"/>
  <c r="T58" i="1"/>
  <c r="AD22" i="1"/>
  <c r="AB25" i="1"/>
  <c r="K23" i="1"/>
  <c r="D57" i="1" s="1"/>
  <c r="Q23" i="1"/>
  <c r="P23" i="1"/>
  <c r="F54" i="9"/>
  <c r="J32" i="1"/>
  <c r="N32" i="50"/>
  <c r="J32" i="51"/>
  <c r="L32" i="1"/>
  <c r="L32" i="51"/>
  <c r="J32" i="53"/>
  <c r="N32" i="53"/>
  <c r="N32" i="1"/>
  <c r="L32" i="50"/>
  <c r="N32" i="51"/>
  <c r="J32" i="50"/>
  <c r="L32" i="53"/>
  <c r="D51" i="9"/>
  <c r="F51" i="9" s="1"/>
  <c r="C51" i="9"/>
  <c r="C52" i="9"/>
  <c r="D52" i="9"/>
  <c r="F52" i="9" s="1"/>
  <c r="C49" i="9"/>
  <c r="B55" i="9"/>
  <c r="D49" i="9"/>
  <c r="F49" i="9" s="1"/>
  <c r="AB22" i="1"/>
  <c r="AC22" i="1"/>
  <c r="AB31" i="1"/>
  <c r="J34" i="1"/>
  <c r="C50" i="9"/>
  <c r="D50" i="9"/>
  <c r="F50" i="9" s="1"/>
  <c r="O23" i="3"/>
  <c r="J21" i="3"/>
  <c r="K17" i="3"/>
  <c r="J14" i="3"/>
  <c r="K19" i="3"/>
  <c r="M8" i="3"/>
  <c r="M6" i="3"/>
  <c r="N14" i="3"/>
  <c r="J12" i="3"/>
  <c r="J10" i="3"/>
  <c r="M9" i="3"/>
  <c r="N24" i="3"/>
  <c r="K12" i="3"/>
  <c r="M24" i="3"/>
  <c r="K23" i="3"/>
  <c r="O19" i="3"/>
  <c r="O22" i="3"/>
  <c r="J11" i="3"/>
  <c r="J7" i="3"/>
  <c r="O15" i="3"/>
  <c r="N23" i="3"/>
  <c r="J18" i="3"/>
  <c r="L24" i="3"/>
  <c r="L7" i="3"/>
  <c r="K14" i="3"/>
  <c r="J20" i="3"/>
  <c r="O10" i="3"/>
  <c r="J24" i="3"/>
  <c r="J23" i="3"/>
  <c r="K16" i="3"/>
  <c r="N9" i="3"/>
  <c r="N18" i="3"/>
  <c r="O24" i="3"/>
  <c r="L14" i="3"/>
  <c r="O17" i="3"/>
  <c r="M11" i="3"/>
  <c r="L16" i="3"/>
  <c r="L19" i="3"/>
  <c r="N20" i="3"/>
  <c r="M22" i="3"/>
  <c r="M15" i="3"/>
  <c r="N6" i="3"/>
  <c r="O21" i="3"/>
  <c r="L6" i="3"/>
  <c r="O8" i="3"/>
  <c r="M21" i="3"/>
  <c r="N12" i="3"/>
  <c r="K21" i="3"/>
  <c r="M12" i="3"/>
  <c r="N17" i="3"/>
  <c r="O13" i="3"/>
  <c r="O11" i="3"/>
  <c r="O12" i="3"/>
  <c r="L10" i="3"/>
  <c r="L17" i="3"/>
  <c r="K10" i="3"/>
  <c r="Q3" i="3"/>
  <c r="J13" i="3"/>
  <c r="M16" i="3"/>
  <c r="L9" i="3"/>
  <c r="O16" i="3"/>
  <c r="N10" i="3"/>
  <c r="N22" i="3"/>
  <c r="N13" i="3"/>
  <c r="M17" i="3"/>
  <c r="L21" i="3"/>
  <c r="M18" i="3"/>
  <c r="N7" i="3"/>
  <c r="K22" i="3"/>
  <c r="K20" i="3"/>
  <c r="N19" i="3"/>
  <c r="N16" i="3"/>
  <c r="J22" i="3"/>
  <c r="J19" i="3"/>
  <c r="N8" i="3"/>
  <c r="L11" i="3"/>
  <c r="L12" i="3"/>
  <c r="K11" i="3"/>
  <c r="K7" i="3"/>
  <c r="J15" i="3"/>
  <c r="L15" i="3"/>
  <c r="J16" i="3"/>
  <c r="J9" i="3"/>
  <c r="M14" i="3"/>
  <c r="M23" i="3"/>
  <c r="K15" i="3"/>
  <c r="K18" i="3"/>
  <c r="N15" i="3"/>
  <c r="O9" i="3"/>
  <c r="L23" i="3"/>
  <c r="K13" i="3"/>
  <c r="O20" i="3"/>
  <c r="L18" i="3"/>
  <c r="K6" i="3"/>
  <c r="O18" i="3"/>
  <c r="O6" i="3"/>
  <c r="J17" i="3"/>
  <c r="K24" i="3"/>
  <c r="L22" i="3"/>
  <c r="O14" i="3"/>
  <c r="M7" i="3"/>
  <c r="K8" i="3"/>
  <c r="O7" i="3"/>
  <c r="L13" i="3"/>
  <c r="M10" i="3"/>
  <c r="K9" i="3"/>
  <c r="J8" i="3"/>
  <c r="M13" i="3"/>
  <c r="L20" i="3"/>
  <c r="L8" i="3"/>
  <c r="M20" i="3"/>
  <c r="N11" i="3"/>
  <c r="N21" i="3"/>
  <c r="M19" i="3"/>
  <c r="K32" i="9"/>
  <c r="O16" i="9"/>
  <c r="M13" i="9"/>
  <c r="L6" i="9"/>
  <c r="J4" i="9"/>
  <c r="J18" i="9"/>
  <c r="L21" i="9"/>
  <c r="J22" i="9"/>
  <c r="J14" i="9"/>
  <c r="N22" i="9"/>
  <c r="J32" i="9"/>
  <c r="J19" i="9"/>
  <c r="L19" i="9"/>
  <c r="M22" i="9"/>
  <c r="N21" i="9"/>
  <c r="K7" i="9"/>
  <c r="L16" i="9"/>
  <c r="J8" i="9"/>
  <c r="K21" i="9"/>
  <c r="L8" i="9"/>
  <c r="N19" i="9"/>
  <c r="N9" i="9"/>
  <c r="O18" i="9"/>
  <c r="K8" i="9"/>
  <c r="L32" i="9"/>
  <c r="O6" i="9"/>
  <c r="M15" i="9"/>
  <c r="K4" i="9"/>
  <c r="O5" i="9"/>
  <c r="M10" i="9"/>
  <c r="N4" i="9"/>
  <c r="O17" i="9"/>
  <c r="N13" i="9"/>
  <c r="O13" i="9"/>
  <c r="N7" i="9"/>
  <c r="J12" i="9"/>
  <c r="L13" i="9"/>
  <c r="J9" i="9"/>
  <c r="J62" i="9"/>
  <c r="N10" i="9"/>
  <c r="M19" i="9"/>
  <c r="L14" i="9"/>
  <c r="O10" i="9"/>
  <c r="J7" i="9"/>
  <c r="N12" i="9"/>
  <c r="N18" i="9"/>
  <c r="K5" i="9"/>
  <c r="J15" i="9"/>
  <c r="J5" i="9"/>
  <c r="O20" i="9"/>
  <c r="L10" i="9"/>
  <c r="K22" i="9"/>
  <c r="J10" i="9"/>
  <c r="M21" i="9"/>
  <c r="L4" i="9"/>
  <c r="L20" i="9"/>
  <c r="J16" i="9"/>
  <c r="O21" i="9"/>
  <c r="L22" i="9"/>
  <c r="M8" i="9"/>
  <c r="K13" i="9"/>
  <c r="J13" i="9"/>
  <c r="N16" i="9"/>
  <c r="O9" i="9"/>
  <c r="K17" i="9"/>
  <c r="M14" i="9"/>
  <c r="M17" i="9"/>
  <c r="K11" i="9"/>
  <c r="N8" i="9"/>
  <c r="K20" i="9"/>
  <c r="M16" i="9"/>
  <c r="O15" i="9"/>
  <c r="L18" i="9"/>
  <c r="K18" i="9"/>
  <c r="K19" i="9"/>
  <c r="O19" i="9"/>
  <c r="K6" i="9"/>
  <c r="M4" i="9"/>
  <c r="O7" i="9"/>
  <c r="O4" i="9"/>
  <c r="N15" i="9"/>
  <c r="K12" i="9"/>
  <c r="M5" i="9"/>
  <c r="L9" i="9"/>
  <c r="K16" i="9"/>
  <c r="L17" i="9"/>
  <c r="O12" i="9"/>
  <c r="O11" i="9"/>
  <c r="J42" i="9"/>
  <c r="M11" i="9"/>
  <c r="N11" i="9"/>
  <c r="N14" i="9"/>
  <c r="J20" i="9"/>
  <c r="M9" i="9"/>
  <c r="O14" i="9"/>
  <c r="O22" i="9"/>
  <c r="J21" i="9"/>
  <c r="K14" i="9"/>
  <c r="J17" i="9"/>
  <c r="L15" i="9"/>
  <c r="J11" i="9"/>
  <c r="L11" i="9"/>
  <c r="L12" i="9"/>
  <c r="N17" i="9"/>
  <c r="N6" i="9"/>
  <c r="K9" i="9"/>
  <c r="M18" i="9"/>
  <c r="J6" i="9"/>
  <c r="L5" i="9"/>
  <c r="J49" i="9"/>
  <c r="L7" i="9"/>
  <c r="J50" i="9"/>
  <c r="M50" i="9"/>
  <c r="M7" i="9"/>
  <c r="M51" i="9"/>
  <c r="J52" i="9"/>
  <c r="W1" i="9"/>
  <c r="R37" i="9" s="1"/>
  <c r="M53" i="9"/>
  <c r="N53" i="9" s="1"/>
  <c r="M6" i="9"/>
  <c r="N5" i="9"/>
  <c r="M52" i="9"/>
  <c r="J51" i="9"/>
  <c r="M12" i="9"/>
  <c r="N20" i="9"/>
  <c r="M20" i="9"/>
  <c r="M54" i="9"/>
  <c r="J54" i="9"/>
  <c r="L54" i="9" s="1"/>
  <c r="O8" i="9"/>
  <c r="K10" i="9"/>
  <c r="M49" i="9"/>
  <c r="K15" i="9"/>
  <c r="R62" i="1"/>
  <c r="S62" i="1" s="1"/>
  <c r="T62" i="1" s="1"/>
  <c r="R65" i="1"/>
  <c r="S65" i="1" s="1"/>
  <c r="T65" i="1" s="1"/>
  <c r="R57" i="1"/>
  <c r="S57" i="1" s="1"/>
  <c r="R67" i="1"/>
  <c r="S67" i="1" s="1"/>
  <c r="T67" i="1" s="1"/>
  <c r="R66" i="1"/>
  <c r="S66" i="1" s="1"/>
  <c r="T66" i="1" s="1"/>
  <c r="R60" i="1"/>
  <c r="S60" i="1" s="1"/>
  <c r="R63" i="1"/>
  <c r="S63" i="1" s="1"/>
  <c r="T63" i="1" s="1"/>
  <c r="R58" i="1"/>
  <c r="S58" i="1" s="1"/>
  <c r="R61" i="1"/>
  <c r="S61" i="1" s="1"/>
  <c r="T61" i="1" s="1"/>
  <c r="R64" i="1"/>
  <c r="S64" i="1" s="1"/>
  <c r="T64" i="1" s="1"/>
  <c r="R68" i="1"/>
  <c r="S68" i="1" s="1"/>
  <c r="T68" i="1" s="1"/>
  <c r="R59" i="1"/>
  <c r="S59" i="1" s="1"/>
  <c r="AF56" i="1"/>
  <c r="L24" i="50" l="1"/>
  <c r="E62" i="1"/>
  <c r="E60" i="1"/>
  <c r="J24" i="51"/>
  <c r="H67" i="51" s="1"/>
  <c r="D61" i="1"/>
  <c r="E59" i="1"/>
  <c r="E58" i="1"/>
  <c r="P27" i="51"/>
  <c r="L24" i="51"/>
  <c r="L24" i="53"/>
  <c r="P28" i="51"/>
  <c r="H68" i="51"/>
  <c r="J24" i="50"/>
  <c r="J29" i="1"/>
  <c r="J24" i="1"/>
  <c r="J24" i="53"/>
  <c r="P28" i="1"/>
  <c r="P28" i="50"/>
  <c r="P28" i="53"/>
  <c r="P27" i="1"/>
  <c r="P27" i="50"/>
  <c r="P27" i="53"/>
  <c r="L24" i="1"/>
  <c r="V55" i="1"/>
  <c r="C26" i="33" s="1"/>
  <c r="V28" i="1"/>
  <c r="V27" i="1"/>
  <c r="AD26" i="1"/>
  <c r="AE22" i="1"/>
  <c r="AJ58" i="1" s="1"/>
  <c r="AJ66" i="1"/>
  <c r="AJ57" i="1"/>
  <c r="AJ65" i="1"/>
  <c r="AD25" i="1"/>
  <c r="K36" i="1"/>
  <c r="J36" i="1"/>
  <c r="P29" i="1"/>
  <c r="C55" i="9"/>
  <c r="L51" i="9"/>
  <c r="N51" i="9" s="1"/>
  <c r="K51" i="9"/>
  <c r="K50" i="9"/>
  <c r="L50" i="9"/>
  <c r="N50" i="9" s="1"/>
  <c r="J45" i="1"/>
  <c r="J39" i="1"/>
  <c r="P34" i="1"/>
  <c r="L36" i="1"/>
  <c r="Z32" i="1"/>
  <c r="Z32" i="50"/>
  <c r="V32" i="1"/>
  <c r="P32" i="53"/>
  <c r="V32" i="51"/>
  <c r="V32" i="50"/>
  <c r="P32" i="1"/>
  <c r="Z32" i="53"/>
  <c r="P32" i="51"/>
  <c r="V32" i="53"/>
  <c r="Z32" i="51"/>
  <c r="P32" i="50"/>
  <c r="N54" i="9"/>
  <c r="J55" i="9"/>
  <c r="L49" i="9"/>
  <c r="K49" i="9"/>
  <c r="Y3" i="3"/>
  <c r="R21" i="3"/>
  <c r="R24" i="3"/>
  <c r="V11" i="3"/>
  <c r="T15" i="3"/>
  <c r="W9" i="3"/>
  <c r="T7" i="3"/>
  <c r="S19" i="3"/>
  <c r="V10" i="3"/>
  <c r="V8" i="3"/>
  <c r="U7" i="3"/>
  <c r="S9" i="3"/>
  <c r="W17" i="3"/>
  <c r="W6" i="3"/>
  <c r="U10" i="3"/>
  <c r="R22" i="3"/>
  <c r="R14" i="3"/>
  <c r="W14" i="3"/>
  <c r="V9" i="3"/>
  <c r="V18" i="3"/>
  <c r="U16" i="3"/>
  <c r="S20" i="3"/>
  <c r="R6" i="3"/>
  <c r="V16" i="3"/>
  <c r="W12" i="3"/>
  <c r="W22" i="3"/>
  <c r="S10" i="3"/>
  <c r="U15" i="3"/>
  <c r="R12" i="3"/>
  <c r="V13" i="3"/>
  <c r="T23" i="3"/>
  <c r="U22" i="3"/>
  <c r="S13" i="3"/>
  <c r="U17" i="3"/>
  <c r="S23" i="3"/>
  <c r="S16" i="3"/>
  <c r="U14" i="3"/>
  <c r="R20" i="3"/>
  <c r="T18" i="3"/>
  <c r="S7" i="3"/>
  <c r="U11" i="3"/>
  <c r="S17" i="3"/>
  <c r="W23" i="3"/>
  <c r="T17" i="3"/>
  <c r="W11" i="3"/>
  <c r="W13" i="3"/>
  <c r="V15" i="3"/>
  <c r="T10" i="3"/>
  <c r="R18" i="3"/>
  <c r="S12" i="3"/>
  <c r="R23" i="3"/>
  <c r="U19" i="3"/>
  <c r="V22" i="3"/>
  <c r="W15" i="3"/>
  <c r="V20" i="3"/>
  <c r="T19" i="3"/>
  <c r="R15" i="3"/>
  <c r="W10" i="3"/>
  <c r="T16" i="3"/>
  <c r="T14" i="3"/>
  <c r="V24" i="3"/>
  <c r="T22" i="3"/>
  <c r="W21" i="3"/>
  <c r="S6" i="3"/>
  <c r="T13" i="3"/>
  <c r="W24" i="3"/>
  <c r="S15" i="3"/>
  <c r="V12" i="3"/>
  <c r="R16" i="3"/>
  <c r="T21" i="3"/>
  <c r="V17" i="3"/>
  <c r="T9" i="3"/>
  <c r="U21" i="3"/>
  <c r="T6" i="3"/>
  <c r="R9" i="3"/>
  <c r="U23" i="3"/>
  <c r="R7" i="3"/>
  <c r="S22" i="3"/>
  <c r="T8" i="3"/>
  <c r="W8" i="3"/>
  <c r="U12" i="3"/>
  <c r="U6" i="3"/>
  <c r="S8" i="3"/>
  <c r="S24" i="3"/>
  <c r="W18" i="3"/>
  <c r="U24" i="3"/>
  <c r="V23" i="3"/>
  <c r="V6" i="3"/>
  <c r="V21" i="3"/>
  <c r="S14" i="3"/>
  <c r="U18" i="3"/>
  <c r="W20" i="3"/>
  <c r="T20" i="3"/>
  <c r="T12" i="3"/>
  <c r="R17" i="3"/>
  <c r="R10" i="3"/>
  <c r="T11" i="3"/>
  <c r="T24" i="3"/>
  <c r="U8" i="3"/>
  <c r="W19" i="3"/>
  <c r="U9" i="3"/>
  <c r="S21" i="3"/>
  <c r="R19" i="3"/>
  <c r="S18" i="3"/>
  <c r="R13" i="3"/>
  <c r="V7" i="3"/>
  <c r="U13" i="3"/>
  <c r="W16" i="3"/>
  <c r="R11" i="3"/>
  <c r="U20" i="3"/>
  <c r="R8" i="3"/>
  <c r="V19" i="3"/>
  <c r="W7" i="3"/>
  <c r="S11" i="3"/>
  <c r="V14" i="3"/>
  <c r="U21" i="9"/>
  <c r="V9" i="9"/>
  <c r="U7" i="9"/>
  <c r="U10" i="9"/>
  <c r="S20" i="9"/>
  <c r="U20" i="9"/>
  <c r="T10" i="9"/>
  <c r="W9" i="9"/>
  <c r="S8" i="9"/>
  <c r="S6" i="9"/>
  <c r="V21" i="9"/>
  <c r="T15" i="9"/>
  <c r="T5" i="9"/>
  <c r="T7" i="9"/>
  <c r="W8" i="9"/>
  <c r="S13" i="9"/>
  <c r="T4" i="9"/>
  <c r="V10" i="9"/>
  <c r="W20" i="9"/>
  <c r="V17" i="9"/>
  <c r="S18" i="9"/>
  <c r="V12" i="9"/>
  <c r="V20" i="9"/>
  <c r="U16" i="9"/>
  <c r="W19" i="9"/>
  <c r="U17" i="9"/>
  <c r="S12" i="9"/>
  <c r="U13" i="9"/>
  <c r="T32" i="9"/>
  <c r="U11" i="9"/>
  <c r="R20" i="9"/>
  <c r="W4" i="9"/>
  <c r="U5" i="9"/>
  <c r="S11" i="9"/>
  <c r="V16" i="9"/>
  <c r="T14" i="9"/>
  <c r="R6" i="9"/>
  <c r="W22" i="9"/>
  <c r="R10" i="9"/>
  <c r="U15" i="9"/>
  <c r="U12" i="9"/>
  <c r="R14" i="9"/>
  <c r="R7" i="9"/>
  <c r="S32" i="9"/>
  <c r="S21" i="9"/>
  <c r="V18" i="9"/>
  <c r="V11" i="9"/>
  <c r="W7" i="9"/>
  <c r="W13" i="9"/>
  <c r="T18" i="9"/>
  <c r="T9" i="9"/>
  <c r="T12" i="9"/>
  <c r="W17" i="9"/>
  <c r="S7" i="9"/>
  <c r="R21" i="9"/>
  <c r="S5" i="9"/>
  <c r="T20" i="9"/>
  <c r="U22" i="9"/>
  <c r="R32" i="9"/>
  <c r="R16" i="9"/>
  <c r="S15" i="9"/>
  <c r="V6" i="9"/>
  <c r="V15" i="9"/>
  <c r="W18" i="9"/>
  <c r="T16" i="9"/>
  <c r="V8" i="9"/>
  <c r="U19" i="9"/>
  <c r="T19" i="9"/>
  <c r="S22" i="9"/>
  <c r="T8" i="9"/>
  <c r="V13" i="9"/>
  <c r="S14" i="9"/>
  <c r="S17" i="9"/>
  <c r="R17" i="9"/>
  <c r="R4" i="9"/>
  <c r="R11" i="9"/>
  <c r="R22" i="9"/>
  <c r="V19" i="9"/>
  <c r="S16" i="9"/>
  <c r="R8" i="9"/>
  <c r="W21" i="9"/>
  <c r="S4" i="9"/>
  <c r="V5" i="9"/>
  <c r="U9" i="9"/>
  <c r="W10" i="9"/>
  <c r="R5" i="9"/>
  <c r="S9" i="9"/>
  <c r="T22" i="9"/>
  <c r="R12" i="9"/>
  <c r="W15" i="9"/>
  <c r="W5" i="9"/>
  <c r="W11" i="9"/>
  <c r="V14" i="9"/>
  <c r="T6" i="9"/>
  <c r="W16" i="9"/>
  <c r="W14" i="9"/>
  <c r="R13" i="9"/>
  <c r="U4" i="9"/>
  <c r="R42" i="9"/>
  <c r="T21" i="9"/>
  <c r="R15" i="9"/>
  <c r="W6" i="9"/>
  <c r="W12" i="9"/>
  <c r="T13" i="9"/>
  <c r="R18" i="9"/>
  <c r="V4" i="9"/>
  <c r="U14" i="9"/>
  <c r="R9" i="9"/>
  <c r="U18" i="9"/>
  <c r="U49" i="9"/>
  <c r="S19" i="9"/>
  <c r="T17" i="9"/>
  <c r="R19" i="9"/>
  <c r="V7" i="9"/>
  <c r="V22" i="9"/>
  <c r="T11" i="9"/>
  <c r="S10" i="9"/>
  <c r="R52" i="9"/>
  <c r="U54" i="9"/>
  <c r="R51" i="9"/>
  <c r="AE1" i="9"/>
  <c r="Z37" i="9" s="1"/>
  <c r="U51" i="9"/>
  <c r="R54" i="9"/>
  <c r="T54" i="9" s="1"/>
  <c r="U8" i="9"/>
  <c r="R62" i="9"/>
  <c r="R49" i="9"/>
  <c r="R50" i="9"/>
  <c r="U50" i="9"/>
  <c r="U6" i="9"/>
  <c r="U52" i="9"/>
  <c r="U53" i="9"/>
  <c r="V53" i="9" s="1"/>
  <c r="AC23" i="1"/>
  <c r="AB26" i="1"/>
  <c r="AB23" i="1"/>
  <c r="D55" i="9"/>
  <c r="AH57" i="1"/>
  <c r="AI57" i="1" s="1"/>
  <c r="AH58" i="1"/>
  <c r="AI58" i="1" s="1"/>
  <c r="AH61" i="1"/>
  <c r="AI61" i="1" s="1"/>
  <c r="AJ61" i="1" s="1"/>
  <c r="AH66" i="1"/>
  <c r="AI66" i="1" s="1"/>
  <c r="AH60" i="1"/>
  <c r="AI60" i="1" s="1"/>
  <c r="AH59" i="1"/>
  <c r="AI59" i="1" s="1"/>
  <c r="AH68" i="1"/>
  <c r="AI68" i="1" s="1"/>
  <c r="AH63" i="1"/>
  <c r="AI63" i="1" s="1"/>
  <c r="AH62" i="1"/>
  <c r="AI62" i="1" s="1"/>
  <c r="AJ62" i="1" s="1"/>
  <c r="AH67" i="1"/>
  <c r="AI67" i="1" s="1"/>
  <c r="AH65" i="1"/>
  <c r="AI65" i="1" s="1"/>
  <c r="AH64" i="1"/>
  <c r="AI64" i="1" s="1"/>
  <c r="B76" i="1"/>
  <c r="F55" i="9"/>
  <c r="K52" i="9"/>
  <c r="L52" i="9"/>
  <c r="N52" i="9" s="1"/>
  <c r="H65" i="1" l="1"/>
  <c r="H63" i="51"/>
  <c r="H62" i="51"/>
  <c r="H64" i="51"/>
  <c r="G59" i="1"/>
  <c r="G57" i="1"/>
  <c r="L57" i="1" s="1"/>
  <c r="G60" i="1"/>
  <c r="E61" i="1"/>
  <c r="G61" i="1" s="1"/>
  <c r="G59" i="53"/>
  <c r="G58" i="53"/>
  <c r="G62" i="53"/>
  <c r="G61" i="53"/>
  <c r="G60" i="53"/>
  <c r="G57" i="53"/>
  <c r="H57" i="51"/>
  <c r="G62" i="51"/>
  <c r="G58" i="51"/>
  <c r="G60" i="51"/>
  <c r="G57" i="51"/>
  <c r="G61" i="51"/>
  <c r="G59" i="51"/>
  <c r="G62" i="1"/>
  <c r="G58" i="1"/>
  <c r="G58" i="50"/>
  <c r="L58" i="50" s="1"/>
  <c r="G60" i="50"/>
  <c r="L60" i="50" s="1"/>
  <c r="G59" i="50"/>
  <c r="L59" i="50" s="1"/>
  <c r="G62" i="50"/>
  <c r="L62" i="50" s="1"/>
  <c r="G61" i="50"/>
  <c r="L61" i="50" s="1"/>
  <c r="G57" i="50"/>
  <c r="L57" i="50" s="1"/>
  <c r="G68" i="51"/>
  <c r="H65" i="51"/>
  <c r="H66" i="51"/>
  <c r="H61" i="51"/>
  <c r="H59" i="51"/>
  <c r="H60" i="51"/>
  <c r="AB28" i="51"/>
  <c r="V31" i="1"/>
  <c r="V24" i="1" s="1"/>
  <c r="AJ67" i="1"/>
  <c r="AD23" i="1"/>
  <c r="AL55" i="1" s="1"/>
  <c r="C27" i="33" s="1"/>
  <c r="AE23" i="1"/>
  <c r="AJ64" i="1"/>
  <c r="AJ68" i="1"/>
  <c r="AB29" i="1" s="1"/>
  <c r="AJ60" i="1"/>
  <c r="AJ63" i="1"/>
  <c r="AJ59" i="1"/>
  <c r="G67" i="51"/>
  <c r="G67" i="1"/>
  <c r="G68" i="1"/>
  <c r="G67" i="53"/>
  <c r="G68" i="53"/>
  <c r="G67" i="50"/>
  <c r="G68" i="50"/>
  <c r="L68" i="50" s="1"/>
  <c r="AB27" i="51"/>
  <c r="H68" i="1"/>
  <c r="P24" i="51"/>
  <c r="H58" i="51"/>
  <c r="G63" i="51"/>
  <c r="G65" i="51"/>
  <c r="G66" i="51"/>
  <c r="G64" i="51"/>
  <c r="P24" i="50"/>
  <c r="H58" i="50"/>
  <c r="H59" i="1"/>
  <c r="H66" i="1"/>
  <c r="H61" i="50"/>
  <c r="H61" i="53"/>
  <c r="H60" i="50"/>
  <c r="H66" i="53"/>
  <c r="H60" i="53"/>
  <c r="H57" i="53"/>
  <c r="H63" i="53"/>
  <c r="H57" i="1"/>
  <c r="H63" i="1"/>
  <c r="H58" i="1"/>
  <c r="H64" i="1"/>
  <c r="H60" i="1"/>
  <c r="H67" i="1"/>
  <c r="H62" i="1"/>
  <c r="H65" i="50"/>
  <c r="H63" i="50"/>
  <c r="H64" i="50"/>
  <c r="H57" i="50"/>
  <c r="H67" i="50"/>
  <c r="H59" i="50"/>
  <c r="H62" i="50"/>
  <c r="H66" i="50"/>
  <c r="G65" i="50"/>
  <c r="L65" i="50" s="1"/>
  <c r="G66" i="50"/>
  <c r="L66" i="50" s="1"/>
  <c r="H68" i="50"/>
  <c r="G64" i="50"/>
  <c r="L64" i="50" s="1"/>
  <c r="G63" i="50"/>
  <c r="L63" i="50" s="1"/>
  <c r="G65" i="53"/>
  <c r="G66" i="1"/>
  <c r="P24" i="53"/>
  <c r="H64" i="53"/>
  <c r="G63" i="53"/>
  <c r="H62" i="53"/>
  <c r="G64" i="53"/>
  <c r="H58" i="53"/>
  <c r="H59" i="53"/>
  <c r="H67" i="53"/>
  <c r="H68" i="53"/>
  <c r="P24" i="1"/>
  <c r="G66" i="53"/>
  <c r="H65" i="53"/>
  <c r="AB28" i="50"/>
  <c r="AB28" i="53"/>
  <c r="AB27" i="50"/>
  <c r="AB27" i="53"/>
  <c r="G64" i="1"/>
  <c r="G65" i="1"/>
  <c r="G63" i="1"/>
  <c r="AD27" i="1"/>
  <c r="V54" i="9"/>
  <c r="AD28" i="1"/>
  <c r="P39" i="1"/>
  <c r="V36" i="1"/>
  <c r="P36" i="1"/>
  <c r="Q36" i="1"/>
  <c r="K37" i="1"/>
  <c r="J37" i="1"/>
  <c r="J40" i="1"/>
  <c r="S51" i="9"/>
  <c r="T51" i="9"/>
  <c r="V51" i="9" s="1"/>
  <c r="AE6" i="3"/>
  <c r="AD24" i="3"/>
  <c r="AD14" i="3"/>
  <c r="AC6" i="3"/>
  <c r="AA24" i="3"/>
  <c r="AB12" i="3"/>
  <c r="AC9" i="3"/>
  <c r="AA22" i="3"/>
  <c r="AC13" i="3"/>
  <c r="AA23" i="3"/>
  <c r="AE19" i="3"/>
  <c r="Z22" i="3"/>
  <c r="AC11" i="3"/>
  <c r="AC17" i="3"/>
  <c r="Z17" i="3"/>
  <c r="AA6" i="3"/>
  <c r="AB19" i="3"/>
  <c r="AD8" i="3"/>
  <c r="Z11" i="3"/>
  <c r="AC10" i="3"/>
  <c r="AE10" i="3"/>
  <c r="AA15" i="3"/>
  <c r="AD13" i="3"/>
  <c r="AD23" i="3"/>
  <c r="Z14" i="3"/>
  <c r="AB17" i="3"/>
  <c r="AC20" i="3"/>
  <c r="AA16" i="3"/>
  <c r="Z16" i="3"/>
  <c r="AE9" i="3"/>
  <c r="AB15" i="3"/>
  <c r="AE20" i="3"/>
  <c r="Z21" i="3"/>
  <c r="AC16" i="3"/>
  <c r="AD20" i="3"/>
  <c r="Z15" i="3"/>
  <c r="AA14" i="3"/>
  <c r="AE17" i="3"/>
  <c r="Z13" i="3"/>
  <c r="AA19" i="3"/>
  <c r="Z6" i="3"/>
  <c r="AG3" i="3"/>
  <c r="AE8" i="3"/>
  <c r="AC24" i="3"/>
  <c r="AE16" i="3"/>
  <c r="AA17" i="3"/>
  <c r="Z20" i="3"/>
  <c r="AD17" i="3"/>
  <c r="AC23" i="3"/>
  <c r="AB23" i="3"/>
  <c r="AC12" i="3"/>
  <c r="AB13" i="3"/>
  <c r="AC14" i="3"/>
  <c r="AB16" i="3"/>
  <c r="AA11" i="3"/>
  <c r="AC19" i="3"/>
  <c r="AB11" i="3"/>
  <c r="AE18" i="3"/>
  <c r="AC15" i="3"/>
  <c r="AD7" i="3"/>
  <c r="AA9" i="3"/>
  <c r="AD16" i="3"/>
  <c r="AD12" i="3"/>
  <c r="AE12" i="3"/>
  <c r="AD10" i="3"/>
  <c r="AD6" i="3"/>
  <c r="AA20" i="3"/>
  <c r="Z19" i="3"/>
  <c r="Z7" i="3"/>
  <c r="AA10" i="3"/>
  <c r="AB14" i="3"/>
  <c r="AC18" i="3"/>
  <c r="AE7" i="3"/>
  <c r="AE15" i="3"/>
  <c r="AD15" i="3"/>
  <c r="AE11" i="3"/>
  <c r="Z23" i="3"/>
  <c r="AE21" i="3"/>
  <c r="AB20" i="3"/>
  <c r="AA12" i="3"/>
  <c r="Z8" i="3"/>
  <c r="AA13" i="3"/>
  <c r="AD22" i="3"/>
  <c r="AB22" i="3"/>
  <c r="Z10" i="3"/>
  <c r="AB18" i="3"/>
  <c r="AE22" i="3"/>
  <c r="AA21" i="3"/>
  <c r="AC7" i="3"/>
  <c r="AB10" i="3"/>
  <c r="Z12" i="3"/>
  <c r="AB7" i="3"/>
  <c r="AD11" i="3"/>
  <c r="AC8" i="3"/>
  <c r="AA8" i="3"/>
  <c r="AB24" i="3"/>
  <c r="AE24" i="3"/>
  <c r="AD9" i="3"/>
  <c r="AB6" i="3"/>
  <c r="AE14" i="3"/>
  <c r="AB9" i="3"/>
  <c r="AE13" i="3"/>
  <c r="Z24" i="3"/>
  <c r="AD18" i="3"/>
  <c r="AB8" i="3"/>
  <c r="AB21" i="3"/>
  <c r="AA18" i="3"/>
  <c r="Z9" i="3"/>
  <c r="AD19" i="3"/>
  <c r="AE23" i="3"/>
  <c r="AC22" i="3"/>
  <c r="AD21" i="3"/>
  <c r="AA7" i="3"/>
  <c r="AC21" i="3"/>
  <c r="Z18" i="3"/>
  <c r="AB34" i="1"/>
  <c r="P45" i="1"/>
  <c r="T50" i="9"/>
  <c r="V50" i="9" s="1"/>
  <c r="S50" i="9"/>
  <c r="K55" i="9"/>
  <c r="AA13" i="9"/>
  <c r="AB12" i="9"/>
  <c r="AD10" i="9"/>
  <c r="AD11" i="9"/>
  <c r="AD13" i="9"/>
  <c r="Z5" i="9"/>
  <c r="Z21" i="9"/>
  <c r="AA19" i="9"/>
  <c r="AD6" i="9"/>
  <c r="AB17" i="9"/>
  <c r="AC15" i="9"/>
  <c r="Z18" i="9"/>
  <c r="AE18" i="9"/>
  <c r="Z9" i="9"/>
  <c r="AA5" i="9"/>
  <c r="AC12" i="9"/>
  <c r="Z10" i="9"/>
  <c r="Z8" i="9"/>
  <c r="AC14" i="9"/>
  <c r="AA17" i="9"/>
  <c r="AA4" i="9"/>
  <c r="AB7" i="9"/>
  <c r="AC19" i="9"/>
  <c r="Z7" i="9"/>
  <c r="AA22" i="9"/>
  <c r="AE6" i="9"/>
  <c r="AD7" i="9"/>
  <c r="Z20" i="9"/>
  <c r="AD4" i="9"/>
  <c r="AE8" i="9"/>
  <c r="AB11" i="9"/>
  <c r="AA20" i="9"/>
  <c r="AE13" i="9"/>
  <c r="AA9" i="9"/>
  <c r="AA8" i="9"/>
  <c r="AB15" i="9"/>
  <c r="AB6" i="9"/>
  <c r="AD5" i="9"/>
  <c r="Z16" i="9"/>
  <c r="AC20" i="9"/>
  <c r="AB13" i="9"/>
  <c r="AA6" i="9"/>
  <c r="AE22" i="9"/>
  <c r="AC13" i="9"/>
  <c r="AE9" i="9"/>
  <c r="AC6" i="9"/>
  <c r="AE17" i="9"/>
  <c r="Z15" i="9"/>
  <c r="AC8" i="9"/>
  <c r="AB10" i="9"/>
  <c r="Z4" i="9"/>
  <c r="Z13" i="9"/>
  <c r="AB32" i="9"/>
  <c r="AE19" i="9"/>
  <c r="Z17" i="9"/>
  <c r="AA15" i="9"/>
  <c r="Z6" i="9"/>
  <c r="Z14" i="9"/>
  <c r="AE5" i="9"/>
  <c r="AB14" i="9"/>
  <c r="AB19" i="9"/>
  <c r="AA14" i="9"/>
  <c r="AD22" i="9"/>
  <c r="AE7" i="9"/>
  <c r="AB9" i="9"/>
  <c r="AD15" i="9"/>
  <c r="AD16" i="9"/>
  <c r="AE21" i="9"/>
  <c r="AA11" i="9"/>
  <c r="AD12" i="9"/>
  <c r="AC4" i="9"/>
  <c r="Z19" i="9"/>
  <c r="AB8" i="9"/>
  <c r="AC7" i="9"/>
  <c r="AC11" i="9"/>
  <c r="AC21" i="9"/>
  <c r="Z12" i="9"/>
  <c r="AD19" i="9"/>
  <c r="AC22" i="9"/>
  <c r="AD8" i="9"/>
  <c r="AC17" i="9"/>
  <c r="AC5" i="9"/>
  <c r="AB20" i="9"/>
  <c r="AE15" i="9"/>
  <c r="AD17" i="9"/>
  <c r="AB16" i="9"/>
  <c r="AD20" i="9"/>
  <c r="AC10" i="9"/>
  <c r="AB18" i="9"/>
  <c r="AB5" i="9"/>
  <c r="AE10" i="9"/>
  <c r="AB21" i="9"/>
  <c r="AA16" i="9"/>
  <c r="AA7" i="9"/>
  <c r="AA21" i="9"/>
  <c r="Z11" i="9"/>
  <c r="AE14" i="9"/>
  <c r="AB4" i="9"/>
  <c r="AC18" i="9"/>
  <c r="AA18" i="9"/>
  <c r="AC9" i="9"/>
  <c r="AD14" i="9"/>
  <c r="Z22" i="9"/>
  <c r="AD9" i="9"/>
  <c r="AA10" i="9"/>
  <c r="AE16" i="9"/>
  <c r="Z42" i="9"/>
  <c r="AC16" i="9"/>
  <c r="AD18" i="9"/>
  <c r="AA32" i="9"/>
  <c r="AE12" i="9"/>
  <c r="AD21" i="9"/>
  <c r="AB22" i="9"/>
  <c r="AE11" i="9"/>
  <c r="AE4" i="9"/>
  <c r="AE20" i="9"/>
  <c r="Z32" i="9"/>
  <c r="AC51" i="9"/>
  <c r="Z52" i="9"/>
  <c r="AC49" i="9"/>
  <c r="AA12" i="9"/>
  <c r="AC53" i="9"/>
  <c r="AD53" i="9" s="1"/>
  <c r="Z62" i="9"/>
  <c r="AM1" i="9"/>
  <c r="AH37" i="9" s="1"/>
  <c r="Z50" i="9"/>
  <c r="AC52" i="9"/>
  <c r="Z51" i="9"/>
  <c r="Z54" i="9"/>
  <c r="AB54" i="9" s="1"/>
  <c r="AC54" i="9"/>
  <c r="Z49" i="9"/>
  <c r="AC50" i="9"/>
  <c r="R55" i="9"/>
  <c r="T49" i="9"/>
  <c r="V49" i="9" s="1"/>
  <c r="S49" i="9"/>
  <c r="S52" i="9"/>
  <c r="T52" i="9"/>
  <c r="V52" i="9" s="1"/>
  <c r="L55" i="9"/>
  <c r="L40" i="1"/>
  <c r="M36" i="1"/>
  <c r="E82" i="1" s="1"/>
  <c r="L39" i="1"/>
  <c r="AB32" i="53"/>
  <c r="AD32" i="50"/>
  <c r="AD24" i="50" s="1"/>
  <c r="AD32" i="51"/>
  <c r="AD24" i="51" s="1"/>
  <c r="AD32" i="1"/>
  <c r="AB32" i="1"/>
  <c r="AF32" i="50"/>
  <c r="AF32" i="51"/>
  <c r="AB32" i="51"/>
  <c r="AF32" i="1"/>
  <c r="AF32" i="53"/>
  <c r="AD32" i="53"/>
  <c r="AB32" i="50"/>
  <c r="P76" i="1"/>
  <c r="C88" i="1"/>
  <c r="D88" i="1" s="1"/>
  <c r="C83" i="1"/>
  <c r="D83" i="1" s="1"/>
  <c r="C78" i="1"/>
  <c r="D78" i="1" s="1"/>
  <c r="C86" i="1"/>
  <c r="D86" i="1" s="1"/>
  <c r="C85" i="1"/>
  <c r="D85" i="1" s="1"/>
  <c r="C82" i="1"/>
  <c r="D82" i="1" s="1"/>
  <c r="C84" i="1"/>
  <c r="D84" i="1" s="1"/>
  <c r="C79" i="1"/>
  <c r="D79" i="1" s="1"/>
  <c r="C87" i="1"/>
  <c r="D87" i="1" s="1"/>
  <c r="C81" i="1"/>
  <c r="D81" i="1" s="1"/>
  <c r="C77" i="1"/>
  <c r="D77" i="1" s="1"/>
  <c r="C80" i="1"/>
  <c r="D80" i="1" s="1"/>
  <c r="AB27" i="1"/>
  <c r="AB28" i="1"/>
  <c r="N49" i="9"/>
  <c r="N55" i="9" s="1"/>
  <c r="I57" i="1" l="1"/>
  <c r="I61" i="1"/>
  <c r="L61" i="1"/>
  <c r="I63" i="1"/>
  <c r="L63" i="1"/>
  <c r="I67" i="1"/>
  <c r="I58" i="1"/>
  <c r="L58" i="1"/>
  <c r="I60" i="1"/>
  <c r="L60" i="1"/>
  <c r="I66" i="1"/>
  <c r="L66" i="1"/>
  <c r="I68" i="51"/>
  <c r="I62" i="1"/>
  <c r="L62" i="1"/>
  <c r="I68" i="1"/>
  <c r="L68" i="1"/>
  <c r="I59" i="1"/>
  <c r="L59" i="1"/>
  <c r="I64" i="1"/>
  <c r="L64" i="1"/>
  <c r="I65" i="1"/>
  <c r="L65" i="1"/>
  <c r="H61" i="1"/>
  <c r="H70" i="1" s="1"/>
  <c r="J67" i="1" s="1"/>
  <c r="K67" i="1" s="1"/>
  <c r="V59" i="1"/>
  <c r="V57" i="1"/>
  <c r="V58" i="1"/>
  <c r="V62" i="1"/>
  <c r="V60" i="1"/>
  <c r="V61" i="1"/>
  <c r="V57" i="53"/>
  <c r="V60" i="53"/>
  <c r="V58" i="53"/>
  <c r="V59" i="53"/>
  <c r="V62" i="53"/>
  <c r="V61" i="53"/>
  <c r="V62" i="51"/>
  <c r="V60" i="51"/>
  <c r="V58" i="51"/>
  <c r="V61" i="51"/>
  <c r="V59" i="51"/>
  <c r="V57" i="51"/>
  <c r="V58" i="50"/>
  <c r="AB58" i="50" s="1"/>
  <c r="V59" i="50"/>
  <c r="AB59" i="50" s="1"/>
  <c r="V57" i="50"/>
  <c r="AB57" i="50" s="1"/>
  <c r="V60" i="50"/>
  <c r="AB60" i="50" s="1"/>
  <c r="V61" i="50"/>
  <c r="AB61" i="50" s="1"/>
  <c r="V62" i="50"/>
  <c r="AB62" i="50" s="1"/>
  <c r="M68" i="51"/>
  <c r="H72" i="51"/>
  <c r="I63" i="50"/>
  <c r="I65" i="50"/>
  <c r="M62" i="51"/>
  <c r="I62" i="51"/>
  <c r="M66" i="53"/>
  <c r="I66" i="53"/>
  <c r="M63" i="53"/>
  <c r="I63" i="53"/>
  <c r="I64" i="50"/>
  <c r="I60" i="53"/>
  <c r="I58" i="51"/>
  <c r="I57" i="53"/>
  <c r="I62" i="50"/>
  <c r="I59" i="51"/>
  <c r="M67" i="51"/>
  <c r="I67" i="51"/>
  <c r="I62" i="53"/>
  <c r="M61" i="50"/>
  <c r="I61" i="50"/>
  <c r="M61" i="51"/>
  <c r="I61" i="51"/>
  <c r="M58" i="50"/>
  <c r="I58" i="50"/>
  <c r="K68" i="50"/>
  <c r="I68" i="50"/>
  <c r="M61" i="53"/>
  <c r="I61" i="53"/>
  <c r="I64" i="51"/>
  <c r="M60" i="51"/>
  <c r="I60" i="51"/>
  <c r="K59" i="50"/>
  <c r="I59" i="50"/>
  <c r="M67" i="50"/>
  <c r="I67" i="50"/>
  <c r="I66" i="50"/>
  <c r="I66" i="51"/>
  <c r="M59" i="53"/>
  <c r="I59" i="53"/>
  <c r="K57" i="50"/>
  <c r="I57" i="50"/>
  <c r="I65" i="51"/>
  <c r="I58" i="53"/>
  <c r="M68" i="53"/>
  <c r="I68" i="53"/>
  <c r="I64" i="53"/>
  <c r="I65" i="53"/>
  <c r="M60" i="50"/>
  <c r="I60" i="50"/>
  <c r="M63" i="51"/>
  <c r="I63" i="51"/>
  <c r="M57" i="51"/>
  <c r="I57" i="51"/>
  <c r="M67" i="53"/>
  <c r="I67" i="53"/>
  <c r="M65" i="1"/>
  <c r="M58" i="1"/>
  <c r="K58" i="1"/>
  <c r="M59" i="1"/>
  <c r="M68" i="1"/>
  <c r="M60" i="1"/>
  <c r="M67" i="1"/>
  <c r="M61" i="1"/>
  <c r="K66" i="1"/>
  <c r="AB24" i="51"/>
  <c r="AN59" i="51" s="1"/>
  <c r="K57" i="1"/>
  <c r="AD31" i="1"/>
  <c r="AD24" i="1" s="1"/>
  <c r="V67" i="51"/>
  <c r="V68" i="51"/>
  <c r="V68" i="1"/>
  <c r="V67" i="1"/>
  <c r="V67" i="53"/>
  <c r="V68" i="53"/>
  <c r="V67" i="50"/>
  <c r="V68" i="50"/>
  <c r="AB68" i="50" s="1"/>
  <c r="M68" i="50"/>
  <c r="J41" i="51"/>
  <c r="V66" i="50"/>
  <c r="X64" i="53"/>
  <c r="X68" i="51"/>
  <c r="X66" i="51"/>
  <c r="X58" i="51"/>
  <c r="X65" i="51"/>
  <c r="X61" i="50"/>
  <c r="X58" i="50"/>
  <c r="X68" i="50"/>
  <c r="X57" i="50"/>
  <c r="X59" i="51"/>
  <c r="X67" i="51"/>
  <c r="X62" i="51"/>
  <c r="X63" i="51"/>
  <c r="X61" i="51"/>
  <c r="X60" i="51"/>
  <c r="V66" i="51"/>
  <c r="X64" i="51"/>
  <c r="X57" i="51"/>
  <c r="V63" i="51"/>
  <c r="V65" i="51"/>
  <c r="V64" i="51"/>
  <c r="M60" i="53"/>
  <c r="J59" i="51"/>
  <c r="K59" i="51" s="1"/>
  <c r="M58" i="51"/>
  <c r="J58" i="51"/>
  <c r="K58" i="51" s="1"/>
  <c r="J57" i="51"/>
  <c r="K57" i="51" s="1"/>
  <c r="J63" i="51"/>
  <c r="K63" i="51" s="1"/>
  <c r="M65" i="51"/>
  <c r="M59" i="51"/>
  <c r="J66" i="51"/>
  <c r="K66" i="51" s="1"/>
  <c r="J60" i="51"/>
  <c r="K60" i="51" s="1"/>
  <c r="J62" i="51"/>
  <c r="K62" i="51" s="1"/>
  <c r="J68" i="51"/>
  <c r="L68" i="51" s="1"/>
  <c r="J61" i="51"/>
  <c r="K61" i="51" s="1"/>
  <c r="J67" i="51"/>
  <c r="L67" i="51" s="1"/>
  <c r="H70" i="51"/>
  <c r="M64" i="51"/>
  <c r="G72" i="51"/>
  <c r="X64" i="50"/>
  <c r="J64" i="51"/>
  <c r="K64" i="51" s="1"/>
  <c r="X65" i="50"/>
  <c r="X66" i="50"/>
  <c r="M66" i="51"/>
  <c r="X60" i="50"/>
  <c r="X63" i="50"/>
  <c r="V64" i="50"/>
  <c r="AB64" i="50" s="1"/>
  <c r="X59" i="50"/>
  <c r="V65" i="50"/>
  <c r="AB65" i="50" s="1"/>
  <c r="X62" i="50"/>
  <c r="V63" i="50"/>
  <c r="AB63" i="50" s="1"/>
  <c r="X67" i="50"/>
  <c r="G69" i="51"/>
  <c r="C16" i="52" s="1"/>
  <c r="J65" i="51"/>
  <c r="K65" i="51" s="1"/>
  <c r="X67" i="1"/>
  <c r="J42" i="51"/>
  <c r="X60" i="1"/>
  <c r="X66" i="1"/>
  <c r="X59" i="1"/>
  <c r="X64" i="1"/>
  <c r="M65" i="50"/>
  <c r="K65" i="50"/>
  <c r="X61" i="1"/>
  <c r="M66" i="50"/>
  <c r="K66" i="50"/>
  <c r="K60" i="50"/>
  <c r="H72" i="50"/>
  <c r="H70" i="50"/>
  <c r="J67" i="50" s="1"/>
  <c r="J72" i="50" s="1"/>
  <c r="K58" i="50"/>
  <c r="M65" i="53"/>
  <c r="M58" i="53"/>
  <c r="M62" i="50"/>
  <c r="K62" i="50"/>
  <c r="K64" i="50"/>
  <c r="M57" i="50"/>
  <c r="M64" i="50"/>
  <c r="M59" i="50"/>
  <c r="K61" i="50"/>
  <c r="M66" i="1"/>
  <c r="K63" i="50"/>
  <c r="G72" i="50"/>
  <c r="G69" i="50"/>
  <c r="N71" i="50" s="1"/>
  <c r="M63" i="50"/>
  <c r="X57" i="53"/>
  <c r="X60" i="53"/>
  <c r="V65" i="53"/>
  <c r="X59" i="53"/>
  <c r="M64" i="53"/>
  <c r="X62" i="53"/>
  <c r="X61" i="53"/>
  <c r="V66" i="53"/>
  <c r="V64" i="53"/>
  <c r="V66" i="1"/>
  <c r="V64" i="1"/>
  <c r="M62" i="53"/>
  <c r="V63" i="1"/>
  <c r="X57" i="1"/>
  <c r="V63" i="53"/>
  <c r="X66" i="53"/>
  <c r="X65" i="53"/>
  <c r="AB24" i="53"/>
  <c r="V65" i="1"/>
  <c r="X68" i="53"/>
  <c r="X67" i="53"/>
  <c r="X62" i="1"/>
  <c r="X63" i="1"/>
  <c r="X58" i="1"/>
  <c r="X63" i="53"/>
  <c r="X58" i="53"/>
  <c r="X65" i="1"/>
  <c r="X68" i="1"/>
  <c r="M37" i="1"/>
  <c r="L37" i="1"/>
  <c r="G75" i="1" s="1"/>
  <c r="C28" i="33" s="1"/>
  <c r="L41" i="53"/>
  <c r="L41" i="50"/>
  <c r="L42" i="53"/>
  <c r="L42" i="50"/>
  <c r="J63" i="53"/>
  <c r="K63" i="53" s="1"/>
  <c r="J62" i="53"/>
  <c r="K62" i="53" s="1"/>
  <c r="J66" i="53"/>
  <c r="L66" i="53" s="1"/>
  <c r="J64" i="53"/>
  <c r="K64" i="53" s="1"/>
  <c r="J68" i="53"/>
  <c r="K68" i="53" s="1"/>
  <c r="H72" i="53"/>
  <c r="J59" i="53"/>
  <c r="K59" i="53" s="1"/>
  <c r="J65" i="53"/>
  <c r="K65" i="53" s="1"/>
  <c r="J61" i="53"/>
  <c r="K61" i="53" s="1"/>
  <c r="J60" i="53"/>
  <c r="K60" i="53" s="1"/>
  <c r="J58" i="53"/>
  <c r="L58" i="53" s="1"/>
  <c r="J67" i="53"/>
  <c r="L67" i="53" s="1"/>
  <c r="H70" i="53"/>
  <c r="G69" i="53"/>
  <c r="AB24" i="50"/>
  <c r="J57" i="53"/>
  <c r="K57" i="53" s="1"/>
  <c r="M57" i="53"/>
  <c r="G72" i="53"/>
  <c r="K65" i="1"/>
  <c r="M57" i="1"/>
  <c r="K62" i="1"/>
  <c r="K63" i="1"/>
  <c r="J42" i="50"/>
  <c r="J42" i="53"/>
  <c r="J41" i="50"/>
  <c r="J41" i="53"/>
  <c r="K59" i="1"/>
  <c r="K61" i="1"/>
  <c r="E80" i="1"/>
  <c r="E84" i="1"/>
  <c r="E85" i="1"/>
  <c r="E81" i="1"/>
  <c r="E87" i="1"/>
  <c r="E86" i="1"/>
  <c r="E78" i="1"/>
  <c r="E77" i="1"/>
  <c r="E88" i="1"/>
  <c r="J43" i="1" s="1"/>
  <c r="E83" i="1"/>
  <c r="E79" i="1"/>
  <c r="K68" i="1"/>
  <c r="J42" i="1"/>
  <c r="K60" i="1"/>
  <c r="M63" i="1"/>
  <c r="M62" i="1"/>
  <c r="K64" i="1"/>
  <c r="G69" i="1"/>
  <c r="G72" i="1"/>
  <c r="M64" i="1"/>
  <c r="J41" i="1"/>
  <c r="AB24" i="1"/>
  <c r="AB39" i="1"/>
  <c r="AC36" i="1"/>
  <c r="P37" i="1"/>
  <c r="P40" i="1"/>
  <c r="Q37" i="1"/>
  <c r="W37" i="1"/>
  <c r="V39" i="1"/>
  <c r="T79" i="1"/>
  <c r="V37" i="1"/>
  <c r="W36" i="1"/>
  <c r="T81" i="1"/>
  <c r="T84" i="1"/>
  <c r="T86" i="1"/>
  <c r="T82" i="1"/>
  <c r="T80" i="1"/>
  <c r="T78" i="1"/>
  <c r="T87" i="1"/>
  <c r="T77" i="1"/>
  <c r="V40" i="1"/>
  <c r="T88" i="1"/>
  <c r="T83" i="1"/>
  <c r="V38" i="1"/>
  <c r="T85" i="1"/>
  <c r="AA50" i="9"/>
  <c r="AB50" i="9"/>
  <c r="AD50" i="9" s="1"/>
  <c r="AK12" i="9"/>
  <c r="AH7" i="9"/>
  <c r="AL20" i="9"/>
  <c r="AJ14" i="9"/>
  <c r="AM17" i="9"/>
  <c r="AI13" i="9"/>
  <c r="AH15" i="9"/>
  <c r="AM22" i="9"/>
  <c r="AI16" i="9"/>
  <c r="AI5" i="9"/>
  <c r="AJ6" i="9"/>
  <c r="AM4" i="9"/>
  <c r="AI17" i="9"/>
  <c r="AL12" i="9"/>
  <c r="AJ13" i="9"/>
  <c r="AK14" i="9"/>
  <c r="AJ12" i="9"/>
  <c r="AI14" i="9"/>
  <c r="AH22" i="9"/>
  <c r="AK21" i="9"/>
  <c r="AK5" i="9"/>
  <c r="AM15" i="9"/>
  <c r="AH17" i="9"/>
  <c r="AJ19" i="9"/>
  <c r="AH11" i="9"/>
  <c r="AI4" i="9"/>
  <c r="AM5" i="9"/>
  <c r="AK20" i="9"/>
  <c r="AM9" i="9"/>
  <c r="AL7" i="9"/>
  <c r="AM10" i="9"/>
  <c r="AH10" i="9"/>
  <c r="AM12" i="9"/>
  <c r="AJ20" i="9"/>
  <c r="AJ4" i="9"/>
  <c r="AK11" i="9"/>
  <c r="AH12" i="9"/>
  <c r="AI8" i="9"/>
  <c r="AJ5" i="9"/>
  <c r="AH18" i="9"/>
  <c r="AH20" i="9"/>
  <c r="AI19" i="9"/>
  <c r="AL6" i="9"/>
  <c r="AK18" i="9"/>
  <c r="AM7" i="9"/>
  <c r="AK9" i="9"/>
  <c r="AJ8" i="9"/>
  <c r="AJ18" i="9"/>
  <c r="AJ10" i="9"/>
  <c r="AL21" i="9"/>
  <c r="AI15" i="9"/>
  <c r="AI11" i="9"/>
  <c r="AJ15" i="9"/>
  <c r="AL13" i="9"/>
  <c r="AM14" i="9"/>
  <c r="AI7" i="9"/>
  <c r="AL14" i="9"/>
  <c r="AM18" i="9"/>
  <c r="AK6" i="9"/>
  <c r="AH5" i="9"/>
  <c r="AK8" i="9"/>
  <c r="AK7" i="9"/>
  <c r="AL16" i="9"/>
  <c r="AI9" i="9"/>
  <c r="AM6" i="9"/>
  <c r="AH8" i="9"/>
  <c r="AL8" i="9"/>
  <c r="AH4" i="9"/>
  <c r="AK13" i="9"/>
  <c r="AM20" i="9"/>
  <c r="AI21" i="9"/>
  <c r="AK10" i="9"/>
  <c r="AJ11" i="9"/>
  <c r="AJ32" i="9"/>
  <c r="AJ9" i="9"/>
  <c r="AM8" i="9"/>
  <c r="AK15" i="9"/>
  <c r="AK16" i="9"/>
  <c r="AL4" i="9"/>
  <c r="AH14" i="9"/>
  <c r="AL5" i="9"/>
  <c r="AH13" i="9"/>
  <c r="AL19" i="9"/>
  <c r="AH9" i="9"/>
  <c r="AK17" i="9"/>
  <c r="AI10" i="9"/>
  <c r="AJ7" i="9"/>
  <c r="AM21" i="9"/>
  <c r="AI22" i="9"/>
  <c r="AL15" i="9"/>
  <c r="AL10" i="9"/>
  <c r="AI12" i="9"/>
  <c r="AL18" i="9"/>
  <c r="AH16" i="9"/>
  <c r="AH6" i="9"/>
  <c r="AL17" i="9"/>
  <c r="AI6" i="9"/>
  <c r="AH42" i="9"/>
  <c r="AH21" i="9"/>
  <c r="AJ22" i="9"/>
  <c r="AL11" i="9"/>
  <c r="AM16" i="9"/>
  <c r="AK22" i="9"/>
  <c r="AL9" i="9"/>
  <c r="AK19" i="9"/>
  <c r="AI32" i="9"/>
  <c r="AL22" i="9"/>
  <c r="AM13" i="9"/>
  <c r="AM19" i="9"/>
  <c r="AJ16" i="9"/>
  <c r="AJ21" i="9"/>
  <c r="AM11" i="9"/>
  <c r="AH19" i="9"/>
  <c r="AJ17" i="9"/>
  <c r="AI20" i="9"/>
  <c r="AH32" i="9"/>
  <c r="AH62" i="9"/>
  <c r="AK51" i="9"/>
  <c r="AK4" i="9"/>
  <c r="AI18" i="9"/>
  <c r="AH52" i="9"/>
  <c r="AK49" i="9"/>
  <c r="AH51" i="9"/>
  <c r="AH49" i="9"/>
  <c r="AH50" i="9"/>
  <c r="AK52" i="9"/>
  <c r="AK53" i="9"/>
  <c r="AL53" i="9" s="1"/>
  <c r="AK54" i="9"/>
  <c r="AU1" i="9"/>
  <c r="AP37" i="9" s="1"/>
  <c r="AH54" i="9"/>
  <c r="AJ54" i="9" s="1"/>
  <c r="AK50" i="9"/>
  <c r="AI15" i="3"/>
  <c r="AK12" i="3"/>
  <c r="AH22" i="3"/>
  <c r="AI17" i="3"/>
  <c r="AH8" i="3"/>
  <c r="AI22" i="3"/>
  <c r="AJ22" i="3"/>
  <c r="AM7" i="3"/>
  <c r="AJ18" i="3"/>
  <c r="AK17" i="3"/>
  <c r="AM18" i="3"/>
  <c r="AM20" i="3"/>
  <c r="AM16" i="3"/>
  <c r="AM8" i="3"/>
  <c r="AL22" i="3"/>
  <c r="AJ8" i="3"/>
  <c r="AI21" i="3"/>
  <c r="AK11" i="3"/>
  <c r="AK19" i="3"/>
  <c r="AI20" i="3"/>
  <c r="AL10" i="3"/>
  <c r="AM22" i="3"/>
  <c r="AM6" i="3"/>
  <c r="AL6" i="3"/>
  <c r="AL15" i="3"/>
  <c r="AL20" i="3"/>
  <c r="AI23" i="3"/>
  <c r="AI7" i="3"/>
  <c r="AM17" i="3"/>
  <c r="AH10" i="3"/>
  <c r="AH18" i="3"/>
  <c r="AM9" i="3"/>
  <c r="AK14" i="3"/>
  <c r="AM13" i="3"/>
  <c r="AI18" i="3"/>
  <c r="AK8" i="3"/>
  <c r="AK9" i="3"/>
  <c r="AH13" i="3"/>
  <c r="AH12" i="3"/>
  <c r="AM12" i="3"/>
  <c r="AL14" i="3"/>
  <c r="AJ11" i="3"/>
  <c r="AI16" i="3"/>
  <c r="AJ9" i="3"/>
  <c r="AM24" i="3"/>
  <c r="AM11" i="3"/>
  <c r="AL16" i="3"/>
  <c r="AI12" i="3"/>
  <c r="AI9" i="3"/>
  <c r="AI6" i="3"/>
  <c r="AL13" i="3"/>
  <c r="AK10" i="3"/>
  <c r="AM21" i="3"/>
  <c r="AJ23" i="3"/>
  <c r="AK13" i="3"/>
  <c r="AL18" i="3"/>
  <c r="AK6" i="3"/>
  <c r="AJ6" i="3"/>
  <c r="AJ20" i="3"/>
  <c r="AI10" i="3"/>
  <c r="AI24" i="3"/>
  <c r="AH19" i="3"/>
  <c r="AM10" i="3"/>
  <c r="AI11" i="3"/>
  <c r="AI19" i="3"/>
  <c r="AJ24" i="3"/>
  <c r="AK24" i="3"/>
  <c r="AH21" i="3"/>
  <c r="AH6" i="3"/>
  <c r="AL7" i="3"/>
  <c r="AJ13" i="3"/>
  <c r="AL24" i="3"/>
  <c r="AL8" i="3"/>
  <c r="AM19" i="3"/>
  <c r="AI14" i="3"/>
  <c r="AH11" i="3"/>
  <c r="AM23" i="3"/>
  <c r="AL19" i="3"/>
  <c r="AK23" i="3"/>
  <c r="AK20" i="3"/>
  <c r="AJ21" i="3"/>
  <c r="AJ19" i="3"/>
  <c r="AJ17" i="3"/>
  <c r="AK18" i="3"/>
  <c r="AL23" i="3"/>
  <c r="AL11" i="3"/>
  <c r="AL21" i="3"/>
  <c r="AI8" i="3"/>
  <c r="AJ7" i="3"/>
  <c r="AK7" i="3"/>
  <c r="AH23" i="3"/>
  <c r="AM15" i="3"/>
  <c r="AH14" i="3"/>
  <c r="AH20" i="3"/>
  <c r="AK21" i="3"/>
  <c r="AH17" i="3"/>
  <c r="AK15" i="3"/>
  <c r="AJ14" i="3"/>
  <c r="AK22" i="3"/>
  <c r="AI13" i="3"/>
  <c r="AJ15" i="3"/>
  <c r="AH16" i="3"/>
  <c r="AJ10" i="3"/>
  <c r="AM14" i="3"/>
  <c r="AH9" i="3"/>
  <c r="AL9" i="3"/>
  <c r="AO3" i="3"/>
  <c r="AL17" i="3"/>
  <c r="AL12" i="3"/>
  <c r="AK16" i="3"/>
  <c r="AJ12" i="3"/>
  <c r="AJ16" i="3"/>
  <c r="AH7" i="3"/>
  <c r="AH24" i="3"/>
  <c r="AH15" i="3"/>
  <c r="V55" i="9"/>
  <c r="L46" i="1"/>
  <c r="N46" i="1"/>
  <c r="L46" i="50"/>
  <c r="J46" i="1"/>
  <c r="J46" i="53"/>
  <c r="L46" i="51"/>
  <c r="J46" i="51"/>
  <c r="N46" i="50"/>
  <c r="N46" i="53"/>
  <c r="N46" i="51"/>
  <c r="J46" i="50"/>
  <c r="L46" i="53"/>
  <c r="AD36" i="1"/>
  <c r="AB36" i="1"/>
  <c r="AB45" i="1"/>
  <c r="Z55" i="9"/>
  <c r="AB49" i="9"/>
  <c r="AD49" i="9" s="1"/>
  <c r="AA49" i="9"/>
  <c r="AD54" i="9"/>
  <c r="L42" i="1"/>
  <c r="L41" i="1"/>
  <c r="S55" i="9"/>
  <c r="R86" i="1"/>
  <c r="S86" i="1" s="1"/>
  <c r="R82" i="1"/>
  <c r="S82" i="1" s="1"/>
  <c r="R85" i="1"/>
  <c r="S85" i="1" s="1"/>
  <c r="R88" i="1"/>
  <c r="S88" i="1" s="1"/>
  <c r="R79" i="1"/>
  <c r="S79" i="1" s="1"/>
  <c r="R83" i="1"/>
  <c r="S83" i="1" s="1"/>
  <c r="R84" i="1"/>
  <c r="S84" i="1" s="1"/>
  <c r="R77" i="1"/>
  <c r="S77" i="1" s="1"/>
  <c r="R78" i="1"/>
  <c r="S78" i="1" s="1"/>
  <c r="AF76" i="1"/>
  <c r="R80" i="1"/>
  <c r="S80" i="1" s="1"/>
  <c r="R81" i="1"/>
  <c r="S81" i="1" s="1"/>
  <c r="R87" i="1"/>
  <c r="S87" i="1" s="1"/>
  <c r="T55" i="9"/>
  <c r="AA51" i="9"/>
  <c r="AB51" i="9"/>
  <c r="AD51" i="9" s="1"/>
  <c r="AA52" i="9"/>
  <c r="AB52" i="9"/>
  <c r="AD52" i="9" s="1"/>
  <c r="L67" i="50" l="1"/>
  <c r="L57" i="53"/>
  <c r="N57" i="53" s="1"/>
  <c r="I69" i="1"/>
  <c r="L65" i="51"/>
  <c r="N65" i="51" s="1"/>
  <c r="L60" i="51"/>
  <c r="N60" i="51" s="1"/>
  <c r="Y63" i="1"/>
  <c r="AB63" i="1"/>
  <c r="L69" i="50"/>
  <c r="L62" i="51"/>
  <c r="N62" i="51" s="1"/>
  <c r="L58" i="51"/>
  <c r="N58" i="51" s="1"/>
  <c r="Y65" i="1"/>
  <c r="AB65" i="1"/>
  <c r="Y64" i="1"/>
  <c r="AB64" i="1"/>
  <c r="Y60" i="1"/>
  <c r="AB60" i="1"/>
  <c r="L68" i="53"/>
  <c r="N68" i="53" s="1"/>
  <c r="L64" i="53"/>
  <c r="N64" i="53" s="1"/>
  <c r="L63" i="53"/>
  <c r="N63" i="53" s="1"/>
  <c r="Y61" i="1"/>
  <c r="AB61" i="1"/>
  <c r="Y66" i="1"/>
  <c r="AB66" i="1"/>
  <c r="Y62" i="1"/>
  <c r="AB62" i="1"/>
  <c r="L63" i="51"/>
  <c r="N63" i="51" s="1"/>
  <c r="L61" i="53"/>
  <c r="N61" i="53" s="1"/>
  <c r="L60" i="53"/>
  <c r="N60" i="53" s="1"/>
  <c r="Y60" i="51"/>
  <c r="Y58" i="1"/>
  <c r="AB58" i="1"/>
  <c r="L61" i="51"/>
  <c r="N61" i="51" s="1"/>
  <c r="L59" i="51"/>
  <c r="N59" i="51" s="1"/>
  <c r="Y57" i="1"/>
  <c r="AB57" i="1"/>
  <c r="L66" i="51"/>
  <c r="N66" i="51" s="1"/>
  <c r="L64" i="51"/>
  <c r="N64" i="51" s="1"/>
  <c r="L67" i="1"/>
  <c r="L69" i="1" s="1"/>
  <c r="Y67" i="1"/>
  <c r="Y59" i="1"/>
  <c r="AB59" i="1"/>
  <c r="L62" i="53"/>
  <c r="N62" i="53" s="1"/>
  <c r="L65" i="53"/>
  <c r="N65" i="53" s="1"/>
  <c r="AC66" i="50"/>
  <c r="AB66" i="50"/>
  <c r="Y68" i="1"/>
  <c r="AB68" i="1"/>
  <c r="L57" i="51"/>
  <c r="N57" i="51" s="1"/>
  <c r="L59" i="53"/>
  <c r="N59" i="53" s="1"/>
  <c r="H72" i="1"/>
  <c r="AN61" i="51"/>
  <c r="AN63" i="51"/>
  <c r="AC60" i="51"/>
  <c r="AL59" i="50"/>
  <c r="AR59" i="50" s="1"/>
  <c r="AL57" i="50"/>
  <c r="AR57" i="50" s="1"/>
  <c r="AL58" i="50"/>
  <c r="AR58" i="50" s="1"/>
  <c r="AL62" i="50"/>
  <c r="AR62" i="50" s="1"/>
  <c r="AL60" i="50"/>
  <c r="AR60" i="50" s="1"/>
  <c r="AL61" i="50"/>
  <c r="AR61" i="50" s="1"/>
  <c r="AL62" i="53"/>
  <c r="AL57" i="53"/>
  <c r="AL61" i="53"/>
  <c r="AL59" i="53"/>
  <c r="AL58" i="53"/>
  <c r="AL60" i="53"/>
  <c r="AL59" i="51"/>
  <c r="AL62" i="51"/>
  <c r="AS62" i="51" s="1"/>
  <c r="AL58" i="51"/>
  <c r="AL57" i="51"/>
  <c r="AL61" i="51"/>
  <c r="AL60" i="51"/>
  <c r="AS60" i="51" s="1"/>
  <c r="AL59" i="1"/>
  <c r="AL60" i="1"/>
  <c r="AL57" i="1"/>
  <c r="AL62" i="1"/>
  <c r="AL58" i="1"/>
  <c r="AL61" i="1"/>
  <c r="AL66" i="51"/>
  <c r="I69" i="51"/>
  <c r="AL67" i="51"/>
  <c r="AL65" i="51"/>
  <c r="I69" i="53"/>
  <c r="AC60" i="53"/>
  <c r="Y60" i="53"/>
  <c r="AC65" i="53"/>
  <c r="Y65" i="53"/>
  <c r="AL64" i="51"/>
  <c r="AN64" i="51"/>
  <c r="AA65" i="50"/>
  <c r="Y65" i="50"/>
  <c r="AC68" i="53"/>
  <c r="Y68" i="53"/>
  <c r="AC57" i="51"/>
  <c r="Y57" i="51"/>
  <c r="AC64" i="53"/>
  <c r="Y64" i="53"/>
  <c r="AN67" i="51"/>
  <c r="AC62" i="50"/>
  <c r="Y62" i="50"/>
  <c r="AC62" i="51"/>
  <c r="Y62" i="51"/>
  <c r="Y58" i="50"/>
  <c r="Y67" i="53"/>
  <c r="AC63" i="53"/>
  <c r="Y63" i="53"/>
  <c r="AC66" i="53"/>
  <c r="Y66" i="53"/>
  <c r="AN62" i="51"/>
  <c r="AC64" i="50"/>
  <c r="Y64" i="50"/>
  <c r="AC66" i="51"/>
  <c r="Y66" i="51"/>
  <c r="AC59" i="51"/>
  <c r="Y59" i="51"/>
  <c r="AA66" i="50"/>
  <c r="Y66" i="50"/>
  <c r="AC57" i="53"/>
  <c r="Y57" i="53"/>
  <c r="AC59" i="53"/>
  <c r="Y59" i="53"/>
  <c r="AA59" i="50"/>
  <c r="Y59" i="50"/>
  <c r="AL68" i="51"/>
  <c r="AN57" i="51"/>
  <c r="AN66" i="51"/>
  <c r="I69" i="50"/>
  <c r="AC61" i="53"/>
  <c r="Y61" i="53"/>
  <c r="AN58" i="51"/>
  <c r="AN68" i="51"/>
  <c r="AA61" i="50"/>
  <c r="Y61" i="50"/>
  <c r="Y64" i="51"/>
  <c r="AC58" i="51"/>
  <c r="Y58" i="51"/>
  <c r="Y68" i="50"/>
  <c r="AA63" i="50"/>
  <c r="Y63" i="50"/>
  <c r="AA60" i="50"/>
  <c r="Y60" i="50"/>
  <c r="AC65" i="51"/>
  <c r="Y65" i="51"/>
  <c r="AC61" i="51"/>
  <c r="Y61" i="51"/>
  <c r="AC67" i="50"/>
  <c r="Y67" i="50"/>
  <c r="AC68" i="51"/>
  <c r="Y68" i="51"/>
  <c r="AC62" i="53"/>
  <c r="Y62" i="53"/>
  <c r="AL63" i="51"/>
  <c r="AN65" i="51"/>
  <c r="AN60" i="51"/>
  <c r="AC63" i="51"/>
  <c r="Y63" i="51"/>
  <c r="AC58" i="53"/>
  <c r="Y58" i="53"/>
  <c r="AC57" i="50"/>
  <c r="Y57" i="50"/>
  <c r="AC67" i="51"/>
  <c r="Y67" i="51"/>
  <c r="AC63" i="1"/>
  <c r="AC62" i="1"/>
  <c r="AA58" i="1"/>
  <c r="AC67" i="1"/>
  <c r="N60" i="1"/>
  <c r="AA61" i="1"/>
  <c r="AC65" i="1"/>
  <c r="AC68" i="1"/>
  <c r="J38" i="51"/>
  <c r="G78" i="51" s="1"/>
  <c r="AC60" i="1"/>
  <c r="AC57" i="1"/>
  <c r="AC64" i="1"/>
  <c r="AC59" i="1"/>
  <c r="AC66" i="1"/>
  <c r="N68" i="50"/>
  <c r="P42" i="51"/>
  <c r="AA60" i="1"/>
  <c r="B8" i="60"/>
  <c r="B7" i="60"/>
  <c r="B6" i="60"/>
  <c r="AN66" i="50"/>
  <c r="AN66" i="53"/>
  <c r="V72" i="51"/>
  <c r="Z59" i="51"/>
  <c r="AB59" i="51" s="1"/>
  <c r="Z66" i="51"/>
  <c r="AB66" i="51" s="1"/>
  <c r="Z60" i="51"/>
  <c r="AB60" i="51" s="1"/>
  <c r="Z67" i="51"/>
  <c r="AB67" i="51" s="1"/>
  <c r="Z61" i="51"/>
  <c r="AB61" i="51" s="1"/>
  <c r="V69" i="51"/>
  <c r="C17" i="52" s="1"/>
  <c r="AC64" i="51"/>
  <c r="Z62" i="51"/>
  <c r="AB62" i="51" s="1"/>
  <c r="Z57" i="51"/>
  <c r="AB57" i="51" s="1"/>
  <c r="Z68" i="51"/>
  <c r="AB68" i="51" s="1"/>
  <c r="Z58" i="51"/>
  <c r="AB58" i="51" s="1"/>
  <c r="Z65" i="51"/>
  <c r="AB65" i="51" s="1"/>
  <c r="Z64" i="51"/>
  <c r="AB64" i="51" s="1"/>
  <c r="Z63" i="51"/>
  <c r="AB63" i="51" s="1"/>
  <c r="AC58" i="50"/>
  <c r="X70" i="51"/>
  <c r="P41" i="51"/>
  <c r="K68" i="51"/>
  <c r="N68" i="51" s="1"/>
  <c r="AA58" i="50"/>
  <c r="D25" i="33"/>
  <c r="B9" i="60" s="1"/>
  <c r="AC60" i="50"/>
  <c r="AC61" i="50"/>
  <c r="AC68" i="50"/>
  <c r="AA64" i="50"/>
  <c r="AC63" i="50"/>
  <c r="AC59" i="50"/>
  <c r="AA68" i="50"/>
  <c r="K67" i="51"/>
  <c r="N67" i="51" s="1"/>
  <c r="M69" i="51"/>
  <c r="H16" i="52" s="1"/>
  <c r="M72" i="51"/>
  <c r="AC65" i="50"/>
  <c r="J69" i="51"/>
  <c r="E16" i="52" s="1"/>
  <c r="AA62" i="50"/>
  <c r="V69" i="50"/>
  <c r="X72" i="50" s="1"/>
  <c r="X70" i="50"/>
  <c r="Z67" i="50" s="1"/>
  <c r="AB67" i="50" s="1"/>
  <c r="AN61" i="53"/>
  <c r="AA57" i="50"/>
  <c r="J72" i="51"/>
  <c r="V72" i="50"/>
  <c r="J70" i="51"/>
  <c r="K70" i="51" s="1"/>
  <c r="N65" i="50"/>
  <c r="AN68" i="50"/>
  <c r="AN58" i="53"/>
  <c r="J38" i="50"/>
  <c r="H79" i="50" s="1"/>
  <c r="AN64" i="50"/>
  <c r="K67" i="50"/>
  <c r="K72" i="50" s="1"/>
  <c r="J69" i="50"/>
  <c r="J70" i="50"/>
  <c r="AN60" i="50"/>
  <c r="N66" i="1"/>
  <c r="N60" i="50"/>
  <c r="N66" i="50"/>
  <c r="AA68" i="1"/>
  <c r="N64" i="50"/>
  <c r="N61" i="50"/>
  <c r="M69" i="50"/>
  <c r="N58" i="50"/>
  <c r="N59" i="50"/>
  <c r="N62" i="50"/>
  <c r="N57" i="50"/>
  <c r="M72" i="50"/>
  <c r="N63" i="50"/>
  <c r="M72" i="53"/>
  <c r="AA63" i="1"/>
  <c r="AA62" i="1"/>
  <c r="AA66" i="1"/>
  <c r="AC58" i="1"/>
  <c r="M69" i="53"/>
  <c r="AA59" i="1"/>
  <c r="AN64" i="53"/>
  <c r="AC61" i="1"/>
  <c r="AL66" i="53"/>
  <c r="AL63" i="50"/>
  <c r="AR63" i="50" s="1"/>
  <c r="AN62" i="50"/>
  <c r="AN63" i="53"/>
  <c r="AA57" i="1"/>
  <c r="K66" i="53"/>
  <c r="Z58" i="53"/>
  <c r="AB58" i="53" s="1"/>
  <c r="Z61" i="53"/>
  <c r="AB61" i="53" s="1"/>
  <c r="V69" i="1"/>
  <c r="V69" i="53"/>
  <c r="X72" i="53" s="1"/>
  <c r="AA64" i="1"/>
  <c r="X70" i="53"/>
  <c r="X70" i="1"/>
  <c r="Z67" i="1" s="1"/>
  <c r="Z70" i="1" s="1"/>
  <c r="AN58" i="50"/>
  <c r="V72" i="53"/>
  <c r="Z59" i="53"/>
  <c r="AB59" i="53" s="1"/>
  <c r="AL68" i="53"/>
  <c r="AN67" i="53"/>
  <c r="AN59" i="50"/>
  <c r="AN67" i="50"/>
  <c r="AA65" i="1"/>
  <c r="Z66" i="53"/>
  <c r="AB66" i="53" s="1"/>
  <c r="Z65" i="53"/>
  <c r="AB65" i="53" s="1"/>
  <c r="Z57" i="53"/>
  <c r="AB57" i="53" s="1"/>
  <c r="AL64" i="53"/>
  <c r="AN57" i="53"/>
  <c r="AL64" i="50"/>
  <c r="AR64" i="50" s="1"/>
  <c r="AN63" i="50"/>
  <c r="AN65" i="50"/>
  <c r="AC67" i="53"/>
  <c r="AL65" i="53"/>
  <c r="AL63" i="53"/>
  <c r="AN62" i="53"/>
  <c r="Z63" i="53"/>
  <c r="AB63" i="53" s="1"/>
  <c r="AL68" i="50"/>
  <c r="AR68" i="50" s="1"/>
  <c r="AL65" i="50"/>
  <c r="AR65" i="50" s="1"/>
  <c r="AN61" i="50"/>
  <c r="Z64" i="53"/>
  <c r="AB64" i="53" s="1"/>
  <c r="Z67" i="53"/>
  <c r="AB67" i="53" s="1"/>
  <c r="AN65" i="53"/>
  <c r="V72" i="1"/>
  <c r="AL66" i="50"/>
  <c r="AR66" i="50" s="1"/>
  <c r="AN57" i="50"/>
  <c r="Z60" i="53"/>
  <c r="AB60" i="53" s="1"/>
  <c r="Z68" i="53"/>
  <c r="AB68" i="53" s="1"/>
  <c r="AN68" i="53"/>
  <c r="AN60" i="53"/>
  <c r="AL67" i="50"/>
  <c r="Z62" i="53"/>
  <c r="AB62" i="53" s="1"/>
  <c r="AL67" i="53"/>
  <c r="AN59" i="53"/>
  <c r="L45" i="50"/>
  <c r="L38" i="50" s="1"/>
  <c r="L45" i="53"/>
  <c r="L38" i="53" s="1"/>
  <c r="N68" i="1"/>
  <c r="J72" i="53"/>
  <c r="N63" i="1"/>
  <c r="J69" i="53"/>
  <c r="J70" i="53"/>
  <c r="L70" i="53" s="1"/>
  <c r="K67" i="53"/>
  <c r="N67" i="53" s="1"/>
  <c r="K58" i="53"/>
  <c r="N58" i="53" s="1"/>
  <c r="N57" i="1"/>
  <c r="J38" i="53"/>
  <c r="N65" i="1"/>
  <c r="N61" i="1"/>
  <c r="P41" i="50"/>
  <c r="P41" i="53"/>
  <c r="P42" i="50"/>
  <c r="P42" i="53"/>
  <c r="N59" i="1"/>
  <c r="L45" i="1"/>
  <c r="L38" i="1" s="1"/>
  <c r="M69" i="1"/>
  <c r="N62" i="1"/>
  <c r="N64" i="1"/>
  <c r="M72" i="1"/>
  <c r="K72" i="1"/>
  <c r="P41" i="1"/>
  <c r="J38" i="1"/>
  <c r="K69" i="1"/>
  <c r="N58" i="1"/>
  <c r="J72" i="1"/>
  <c r="J69" i="1"/>
  <c r="J70" i="1"/>
  <c r="AN62" i="1"/>
  <c r="AL65" i="1"/>
  <c r="AN58" i="1"/>
  <c r="AL68" i="1"/>
  <c r="AL63" i="1"/>
  <c r="AL64" i="1"/>
  <c r="AN68" i="1"/>
  <c r="AN60" i="1"/>
  <c r="AN66" i="1"/>
  <c r="AN57" i="1"/>
  <c r="AN67" i="1"/>
  <c r="AN64" i="1"/>
  <c r="AL66" i="1"/>
  <c r="AL67" i="1"/>
  <c r="AN61" i="1"/>
  <c r="AN59" i="1"/>
  <c r="AN65" i="1"/>
  <c r="AN63" i="1"/>
  <c r="P42" i="1"/>
  <c r="V75" i="1"/>
  <c r="C29" i="33" s="1"/>
  <c r="P43" i="1"/>
  <c r="V41" i="1"/>
  <c r="V45" i="1" s="1"/>
  <c r="V42" i="1"/>
  <c r="AD55" i="9"/>
  <c r="AL54" i="9"/>
  <c r="AJ52" i="9"/>
  <c r="AL52" i="9" s="1"/>
  <c r="AI52" i="9"/>
  <c r="AQ17" i="9"/>
  <c r="AP6" i="9"/>
  <c r="AR10" i="9"/>
  <c r="AT9" i="9"/>
  <c r="AQ9" i="9"/>
  <c r="AP4" i="9"/>
  <c r="AU14" i="9"/>
  <c r="AS16" i="9"/>
  <c r="AT12" i="9"/>
  <c r="AR8" i="9"/>
  <c r="AS8" i="9"/>
  <c r="AQ11" i="9"/>
  <c r="AS15" i="9"/>
  <c r="AR16" i="9"/>
  <c r="AT6" i="9"/>
  <c r="AU10" i="9"/>
  <c r="AS17" i="9"/>
  <c r="AP19" i="9"/>
  <c r="AR13" i="9"/>
  <c r="AS7" i="9"/>
  <c r="AS6" i="9"/>
  <c r="AU9" i="9"/>
  <c r="AQ13" i="9"/>
  <c r="AQ6" i="9"/>
  <c r="AQ19" i="9"/>
  <c r="AQ16" i="9"/>
  <c r="AU6" i="9"/>
  <c r="AR6" i="9"/>
  <c r="AP16" i="9"/>
  <c r="AT8" i="9"/>
  <c r="AU5" i="9"/>
  <c r="AR20" i="9"/>
  <c r="AU19" i="9"/>
  <c r="AP9" i="9"/>
  <c r="AT15" i="9"/>
  <c r="AU8" i="9"/>
  <c r="AU7" i="9"/>
  <c r="AS9" i="9"/>
  <c r="AQ5" i="9"/>
  <c r="AS22" i="9"/>
  <c r="AT4" i="9"/>
  <c r="AR12" i="9"/>
  <c r="AS19" i="9"/>
  <c r="AQ22" i="9"/>
  <c r="AT11" i="9"/>
  <c r="AR9" i="9"/>
  <c r="AS5" i="9"/>
  <c r="AT14" i="9"/>
  <c r="AQ21" i="9"/>
  <c r="AP42" i="9"/>
  <c r="AP10" i="9"/>
  <c r="AU20" i="9"/>
  <c r="AU4" i="9"/>
  <c r="AT10" i="9"/>
  <c r="AR18" i="9"/>
  <c r="AT17" i="9"/>
  <c r="AP21" i="9"/>
  <c r="AU15" i="9"/>
  <c r="AR14" i="9"/>
  <c r="AP32" i="9"/>
  <c r="AU17" i="9"/>
  <c r="AP12" i="9"/>
  <c r="AQ18" i="9"/>
  <c r="AP14" i="9"/>
  <c r="AQ20" i="9"/>
  <c r="AU21" i="9"/>
  <c r="AR19" i="9"/>
  <c r="AT16" i="9"/>
  <c r="AT21" i="9"/>
  <c r="AQ10" i="9"/>
  <c r="AQ8" i="9"/>
  <c r="AP17" i="9"/>
  <c r="AS14" i="9"/>
  <c r="AP5" i="9"/>
  <c r="AT5" i="9"/>
  <c r="AS10" i="9"/>
  <c r="AT7" i="9"/>
  <c r="AS12" i="9"/>
  <c r="AQ14" i="9"/>
  <c r="AQ15" i="9"/>
  <c r="AR15" i="9"/>
  <c r="AS21" i="9"/>
  <c r="AQ12" i="9"/>
  <c r="AU11" i="9"/>
  <c r="AS13" i="9"/>
  <c r="AR22" i="9"/>
  <c r="AS11" i="9"/>
  <c r="AT13" i="9"/>
  <c r="AU13" i="9"/>
  <c r="AP13" i="9"/>
  <c r="AU12" i="9"/>
  <c r="AR11" i="9"/>
  <c r="AU18" i="9"/>
  <c r="AT19" i="9"/>
  <c r="AU16" i="9"/>
  <c r="AQ4" i="9"/>
  <c r="AU22" i="9"/>
  <c r="AS51" i="9"/>
  <c r="AQ7" i="9"/>
  <c r="AR32" i="9"/>
  <c r="AP20" i="9"/>
  <c r="AR5" i="9"/>
  <c r="AQ32" i="9"/>
  <c r="AP15" i="9"/>
  <c r="AP22" i="9"/>
  <c r="AR4" i="9"/>
  <c r="AT18" i="9"/>
  <c r="AS18" i="9"/>
  <c r="AP18" i="9"/>
  <c r="AP62" i="9"/>
  <c r="AT20" i="9"/>
  <c r="AS4" i="9"/>
  <c r="AR21" i="9"/>
  <c r="AR17" i="9"/>
  <c r="AP8" i="9"/>
  <c r="AT22" i="9"/>
  <c r="AP7" i="9"/>
  <c r="AS54" i="9"/>
  <c r="AS53" i="9"/>
  <c r="AT53" i="9" s="1"/>
  <c r="AP51" i="9"/>
  <c r="AP49" i="9"/>
  <c r="AP52" i="9"/>
  <c r="AS20" i="9"/>
  <c r="AP11" i="9"/>
  <c r="AS50" i="9"/>
  <c r="AR7" i="9"/>
  <c r="AP50" i="9"/>
  <c r="AS49" i="9"/>
  <c r="AS52" i="9"/>
  <c r="AP54" i="9"/>
  <c r="AR54" i="9" s="1"/>
  <c r="AI50" i="9"/>
  <c r="AJ50" i="9"/>
  <c r="AL50" i="9" s="1"/>
  <c r="P46" i="1"/>
  <c r="Z46" i="1"/>
  <c r="P46" i="51"/>
  <c r="V46" i="50"/>
  <c r="P46" i="50"/>
  <c r="V46" i="1"/>
  <c r="V46" i="51"/>
  <c r="Z46" i="53"/>
  <c r="Z46" i="51"/>
  <c r="Z46" i="50"/>
  <c r="V46" i="53"/>
  <c r="P46" i="53"/>
  <c r="AJ49" i="9"/>
  <c r="AL49" i="9" s="1"/>
  <c r="AH55" i="9"/>
  <c r="AI49" i="9"/>
  <c r="AH80" i="1"/>
  <c r="AI80" i="1" s="1"/>
  <c r="AH84" i="1"/>
  <c r="AI84" i="1" s="1"/>
  <c r="AH81" i="1"/>
  <c r="AI81" i="1" s="1"/>
  <c r="AH86" i="1"/>
  <c r="AI86" i="1" s="1"/>
  <c r="AH88" i="1"/>
  <c r="AI88" i="1" s="1"/>
  <c r="AH85" i="1"/>
  <c r="AI85" i="1" s="1"/>
  <c r="AH79" i="1"/>
  <c r="AI79" i="1" s="1"/>
  <c r="AH78" i="1"/>
  <c r="AI78" i="1" s="1"/>
  <c r="AH82" i="1"/>
  <c r="AI82" i="1" s="1"/>
  <c r="AH83" i="1"/>
  <c r="AI83" i="1" s="1"/>
  <c r="AH87" i="1"/>
  <c r="AI87" i="1" s="1"/>
  <c r="AH77" i="1"/>
  <c r="AI77" i="1" s="1"/>
  <c r="AA55" i="9"/>
  <c r="AC37" i="1"/>
  <c r="AB40" i="1"/>
  <c r="AB37" i="1"/>
  <c r="AS9" i="3"/>
  <c r="AP19" i="3"/>
  <c r="AQ18" i="3"/>
  <c r="AT12" i="3"/>
  <c r="AU11" i="3"/>
  <c r="AU10" i="3"/>
  <c r="AU23" i="3"/>
  <c r="AS7" i="3"/>
  <c r="AT23" i="3"/>
  <c r="AP9" i="3"/>
  <c r="AQ24" i="3"/>
  <c r="AS19" i="3"/>
  <c r="AR8" i="3"/>
  <c r="AT13" i="3"/>
  <c r="AS16" i="3"/>
  <c r="AT11" i="3"/>
  <c r="AP18" i="3"/>
  <c r="AP11" i="3"/>
  <c r="AT20" i="3"/>
  <c r="AQ15" i="3"/>
  <c r="AT6" i="3"/>
  <c r="AU24" i="3"/>
  <c r="AS20" i="3"/>
  <c r="AT15" i="3"/>
  <c r="AQ20" i="3"/>
  <c r="AU17" i="3"/>
  <c r="AR13" i="3"/>
  <c r="AP10" i="3"/>
  <c r="AQ12" i="3"/>
  <c r="AU7" i="3"/>
  <c r="AR20" i="3"/>
  <c r="AQ14" i="3"/>
  <c r="AQ13" i="3"/>
  <c r="AS12" i="3"/>
  <c r="AU9" i="3"/>
  <c r="AR23" i="3"/>
  <c r="AR7" i="3"/>
  <c r="AT18" i="3"/>
  <c r="AQ9" i="3"/>
  <c r="AS21" i="3"/>
  <c r="AP23" i="3"/>
  <c r="AR10" i="3"/>
  <c r="AP24" i="3"/>
  <c r="AP17" i="3"/>
  <c r="AS10" i="3"/>
  <c r="AP20" i="3"/>
  <c r="AU19" i="3"/>
  <c r="AU12" i="3"/>
  <c r="AQ16" i="3"/>
  <c r="AT19" i="3"/>
  <c r="AP8" i="3"/>
  <c r="AQ23" i="3"/>
  <c r="AQ7" i="3"/>
  <c r="AS18" i="3"/>
  <c r="AQ19" i="3"/>
  <c r="AS15" i="3"/>
  <c r="AP13" i="3"/>
  <c r="AR6" i="3"/>
  <c r="AU22" i="3"/>
  <c r="AT22" i="3"/>
  <c r="AQ8" i="3"/>
  <c r="AT9" i="3"/>
  <c r="AT17" i="3"/>
  <c r="AR17" i="3"/>
  <c r="AU21" i="3"/>
  <c r="AT8" i="3"/>
  <c r="AR15" i="3"/>
  <c r="AU18" i="3"/>
  <c r="AR24" i="3"/>
  <c r="AU16" i="3"/>
  <c r="AQ10" i="3"/>
  <c r="AU6" i="3"/>
  <c r="AP21" i="3"/>
  <c r="AS14" i="3"/>
  <c r="AT21" i="3"/>
  <c r="AU8" i="3"/>
  <c r="AS23" i="3"/>
  <c r="AP22" i="3"/>
  <c r="AS22" i="3"/>
  <c r="AT24" i="3"/>
  <c r="AT10" i="3"/>
  <c r="AR11" i="3"/>
  <c r="AS17" i="3"/>
  <c r="AS13" i="3"/>
  <c r="AU15" i="3"/>
  <c r="AR22" i="3"/>
  <c r="AS11" i="3"/>
  <c r="AU14" i="3"/>
  <c r="AR14" i="3"/>
  <c r="AQ11" i="3"/>
  <c r="AP12" i="3"/>
  <c r="AU13" i="3"/>
  <c r="AQ6" i="3"/>
  <c r="AQ17" i="3"/>
  <c r="AR16" i="3"/>
  <c r="AP6" i="3"/>
  <c r="AP16" i="3"/>
  <c r="AQ21" i="3"/>
  <c r="AR12" i="3"/>
  <c r="AQ22" i="3"/>
  <c r="AT16" i="3"/>
  <c r="AR18" i="3"/>
  <c r="AU20" i="3"/>
  <c r="AR9" i="3"/>
  <c r="AS6" i="3"/>
  <c r="AR21" i="3"/>
  <c r="AP15" i="3"/>
  <c r="AT7" i="3"/>
  <c r="AT14" i="3"/>
  <c r="AP7" i="3"/>
  <c r="AR19" i="3"/>
  <c r="AS24" i="3"/>
  <c r="AP14" i="3"/>
  <c r="AS8" i="3"/>
  <c r="AI51" i="9"/>
  <c r="AJ51" i="9"/>
  <c r="AL51" i="9" s="1"/>
  <c r="AB55" i="9"/>
  <c r="AE36" i="1"/>
  <c r="AJ79" i="1"/>
  <c r="AJ81" i="1"/>
  <c r="AJ80" i="1"/>
  <c r="AJ82" i="1"/>
  <c r="AD38" i="1"/>
  <c r="AD39" i="1"/>
  <c r="AJ84" i="1"/>
  <c r="AJ85" i="1"/>
  <c r="AJ88" i="1"/>
  <c r="AD37" i="1"/>
  <c r="AJ86" i="1"/>
  <c r="AJ87" i="1"/>
  <c r="AD40" i="1"/>
  <c r="AJ78" i="1"/>
  <c r="AJ83" i="1"/>
  <c r="AE37" i="1"/>
  <c r="AJ77" i="1"/>
  <c r="N67" i="1" l="1"/>
  <c r="B23" i="60"/>
  <c r="AS57" i="50"/>
  <c r="B22" i="60"/>
  <c r="AO57" i="50"/>
  <c r="AB67" i="1"/>
  <c r="AB72" i="1" s="1"/>
  <c r="AO62" i="1"/>
  <c r="AR62" i="1"/>
  <c r="AO67" i="1"/>
  <c r="AO64" i="1"/>
  <c r="AR64" i="1"/>
  <c r="AS63" i="51"/>
  <c r="AO65" i="51"/>
  <c r="AO60" i="1"/>
  <c r="AR60" i="1"/>
  <c r="AO66" i="1"/>
  <c r="AR66" i="1"/>
  <c r="AO63" i="1"/>
  <c r="AR63" i="1"/>
  <c r="AS64" i="51"/>
  <c r="AO67" i="51"/>
  <c r="AO59" i="1"/>
  <c r="AR59" i="1"/>
  <c r="AO68" i="1"/>
  <c r="AR68" i="1"/>
  <c r="AO60" i="51"/>
  <c r="AO57" i="1"/>
  <c r="AR57" i="1"/>
  <c r="AS59" i="51"/>
  <c r="AO66" i="51"/>
  <c r="AS61" i="51"/>
  <c r="AO65" i="1"/>
  <c r="AR65" i="1"/>
  <c r="AO61" i="1"/>
  <c r="AR61" i="1"/>
  <c r="AS57" i="51"/>
  <c r="AO57" i="53"/>
  <c r="AO58" i="1"/>
  <c r="AR58" i="1"/>
  <c r="AS58" i="51"/>
  <c r="H87" i="51"/>
  <c r="H78" i="51"/>
  <c r="AS65" i="51"/>
  <c r="H79" i="51"/>
  <c r="H82" i="51"/>
  <c r="H88" i="51"/>
  <c r="H84" i="51"/>
  <c r="H86" i="51"/>
  <c r="H81" i="51"/>
  <c r="H83" i="51"/>
  <c r="H85" i="51"/>
  <c r="H80" i="51"/>
  <c r="H77" i="51"/>
  <c r="G83" i="51"/>
  <c r="G85" i="51"/>
  <c r="AP60" i="51"/>
  <c r="AR60" i="51" s="1"/>
  <c r="AP64" i="51"/>
  <c r="AR64" i="51" s="1"/>
  <c r="AP65" i="51"/>
  <c r="AR65" i="51" s="1"/>
  <c r="AO57" i="51"/>
  <c r="AP57" i="51"/>
  <c r="AR57" i="51" s="1"/>
  <c r="G79" i="51"/>
  <c r="G86" i="51"/>
  <c r="M86" i="51" s="1"/>
  <c r="G88" i="51"/>
  <c r="G82" i="51"/>
  <c r="G80" i="51"/>
  <c r="G87" i="51"/>
  <c r="G77" i="51"/>
  <c r="G81" i="51"/>
  <c r="G84" i="51"/>
  <c r="AS67" i="51"/>
  <c r="AS66" i="51"/>
  <c r="AO58" i="51"/>
  <c r="AS59" i="1"/>
  <c r="AP62" i="51"/>
  <c r="AR62" i="51" s="1"/>
  <c r="AP63" i="51"/>
  <c r="AR63" i="51" s="1"/>
  <c r="AP68" i="51"/>
  <c r="AR68" i="51" s="1"/>
  <c r="AP58" i="51"/>
  <c r="AR58" i="51" s="1"/>
  <c r="AP66" i="51"/>
  <c r="AR66" i="51" s="1"/>
  <c r="AS68" i="51"/>
  <c r="AN70" i="51"/>
  <c r="AP67" i="51"/>
  <c r="AR67" i="51" s="1"/>
  <c r="AL72" i="51"/>
  <c r="AL69" i="51"/>
  <c r="C18" i="52" s="1"/>
  <c r="AP59" i="51"/>
  <c r="AR59" i="51" s="1"/>
  <c r="AP61" i="51"/>
  <c r="AR61" i="51" s="1"/>
  <c r="AC69" i="51"/>
  <c r="H17" i="52" s="1"/>
  <c r="AC72" i="53"/>
  <c r="AD66" i="50"/>
  <c r="Y69" i="50"/>
  <c r="Y69" i="51"/>
  <c r="D17" i="52" s="1"/>
  <c r="Y69" i="53"/>
  <c r="AS62" i="50"/>
  <c r="AO62" i="50"/>
  <c r="AS60" i="53"/>
  <c r="AO60" i="53"/>
  <c r="AO62" i="51"/>
  <c r="AO61" i="50"/>
  <c r="AS66" i="50"/>
  <c r="AO66" i="50"/>
  <c r="AO65" i="50"/>
  <c r="AQ63" i="50"/>
  <c r="AO63" i="50"/>
  <c r="AO61" i="51"/>
  <c r="AO64" i="51"/>
  <c r="AS67" i="50"/>
  <c r="AO67" i="50"/>
  <c r="AO68" i="50"/>
  <c r="AS64" i="50"/>
  <c r="AO64" i="50"/>
  <c r="AS60" i="50"/>
  <c r="AO60" i="50"/>
  <c r="AS58" i="50"/>
  <c r="AO58" i="50"/>
  <c r="AS66" i="53"/>
  <c r="AO66" i="53"/>
  <c r="AS62" i="53"/>
  <c r="AO62" i="53"/>
  <c r="AS61" i="53"/>
  <c r="AO61" i="53"/>
  <c r="I78" i="51"/>
  <c r="AS58" i="53"/>
  <c r="AO58" i="53"/>
  <c r="AS59" i="53"/>
  <c r="AO59" i="53"/>
  <c r="AO63" i="53"/>
  <c r="AO64" i="53"/>
  <c r="AQ59" i="50"/>
  <c r="AO59" i="50"/>
  <c r="AO59" i="51"/>
  <c r="AS67" i="53"/>
  <c r="AO67" i="53"/>
  <c r="AO65" i="53"/>
  <c r="AO68" i="53"/>
  <c r="AO63" i="51"/>
  <c r="AO68" i="51"/>
  <c r="D16" i="52"/>
  <c r="B24" i="60"/>
  <c r="AS65" i="1"/>
  <c r="Y69" i="1"/>
  <c r="AS67" i="1"/>
  <c r="P38" i="51"/>
  <c r="X79" i="51" s="1"/>
  <c r="AQ59" i="1"/>
  <c r="B30" i="60"/>
  <c r="B54" i="60"/>
  <c r="B53" i="60"/>
  <c r="B55" i="60"/>
  <c r="B31" i="60"/>
  <c r="B29" i="60"/>
  <c r="AD60" i="1"/>
  <c r="AB42" i="51"/>
  <c r="AB41" i="51"/>
  <c r="X72" i="1"/>
  <c r="C7" i="60"/>
  <c r="C8" i="60"/>
  <c r="C6" i="60"/>
  <c r="AA66" i="51"/>
  <c r="AD66" i="51" s="1"/>
  <c r="AA60" i="51"/>
  <c r="AD60" i="51" s="1"/>
  <c r="AA61" i="51"/>
  <c r="AD61" i="51" s="1"/>
  <c r="AA67" i="51"/>
  <c r="AD67" i="51" s="1"/>
  <c r="AA65" i="51"/>
  <c r="AD65" i="51" s="1"/>
  <c r="AA64" i="51"/>
  <c r="AD64" i="51" s="1"/>
  <c r="AC72" i="51"/>
  <c r="AA59" i="51"/>
  <c r="AD59" i="51" s="1"/>
  <c r="AA58" i="51"/>
  <c r="AD58" i="51" s="1"/>
  <c r="AA62" i="51"/>
  <c r="AD62" i="51" s="1"/>
  <c r="AB69" i="51"/>
  <c r="G17" i="52" s="1"/>
  <c r="AD58" i="50"/>
  <c r="AA63" i="51"/>
  <c r="AD63" i="51" s="1"/>
  <c r="X72" i="51"/>
  <c r="AA68" i="51"/>
  <c r="AD68" i="51" s="1"/>
  <c r="Z69" i="51"/>
  <c r="E17" i="52" s="1"/>
  <c r="Z72" i="51"/>
  <c r="AB72" i="51"/>
  <c r="Z70" i="51"/>
  <c r="AB70" i="51" s="1"/>
  <c r="AA57" i="51"/>
  <c r="AD57" i="51" s="1"/>
  <c r="E25" i="33"/>
  <c r="AD60" i="50"/>
  <c r="H86" i="50"/>
  <c r="AD61" i="50"/>
  <c r="F25" i="33"/>
  <c r="I25" i="33"/>
  <c r="AD63" i="50"/>
  <c r="AD68" i="50"/>
  <c r="AC69" i="50"/>
  <c r="AD64" i="50"/>
  <c r="AD59" i="50"/>
  <c r="K72" i="51"/>
  <c r="K69" i="51"/>
  <c r="F16" i="52" s="1"/>
  <c r="AC72" i="50"/>
  <c r="AD65" i="50"/>
  <c r="AD62" i="50"/>
  <c r="H85" i="50"/>
  <c r="N72" i="51"/>
  <c r="AB69" i="50"/>
  <c r="Z70" i="50"/>
  <c r="H83" i="50"/>
  <c r="H87" i="50"/>
  <c r="H84" i="50"/>
  <c r="L72" i="51"/>
  <c r="AA67" i="50"/>
  <c r="AD67" i="50" s="1"/>
  <c r="Z69" i="50"/>
  <c r="H81" i="53"/>
  <c r="AD57" i="50"/>
  <c r="Z72" i="50"/>
  <c r="AB72" i="50"/>
  <c r="L69" i="51"/>
  <c r="G16" i="52" s="1"/>
  <c r="L70" i="51"/>
  <c r="N70" i="51" s="1"/>
  <c r="O70" i="51" s="1"/>
  <c r="H77" i="50"/>
  <c r="N69" i="51"/>
  <c r="Z105" i="51" s="1"/>
  <c r="H80" i="50"/>
  <c r="H82" i="50"/>
  <c r="H78" i="50"/>
  <c r="H81" i="50"/>
  <c r="K69" i="50"/>
  <c r="G25" i="33" s="1"/>
  <c r="L72" i="50"/>
  <c r="AD68" i="1"/>
  <c r="N67" i="50"/>
  <c r="N72" i="50" s="1"/>
  <c r="P38" i="50"/>
  <c r="V78" i="50" s="1"/>
  <c r="AB78" i="50" s="1"/>
  <c r="N66" i="53"/>
  <c r="N69" i="53" s="1"/>
  <c r="AD58" i="1"/>
  <c r="AD63" i="1"/>
  <c r="AD66" i="1"/>
  <c r="P38" i="53"/>
  <c r="V85" i="53" s="1"/>
  <c r="M78" i="51"/>
  <c r="AS59" i="50"/>
  <c r="AD62" i="1"/>
  <c r="AS65" i="50"/>
  <c r="AC72" i="1"/>
  <c r="AD64" i="1"/>
  <c r="AD57" i="1"/>
  <c r="D26" i="33"/>
  <c r="C9" i="60" s="1"/>
  <c r="AQ57" i="50"/>
  <c r="AD59" i="1"/>
  <c r="AD65" i="1"/>
  <c r="AA67" i="1"/>
  <c r="AA69" i="1" s="1"/>
  <c r="AS63" i="50"/>
  <c r="Z72" i="1"/>
  <c r="AA58" i="53"/>
  <c r="AD58" i="53" s="1"/>
  <c r="Z69" i="1"/>
  <c r="AS68" i="50"/>
  <c r="AD61" i="1"/>
  <c r="AQ60" i="50"/>
  <c r="AA67" i="53"/>
  <c r="AD67" i="53" s="1"/>
  <c r="AC69" i="1"/>
  <c r="AA62" i="53"/>
  <c r="AD62" i="53" s="1"/>
  <c r="AA61" i="53"/>
  <c r="AD61" i="53" s="1"/>
  <c r="H88" i="50"/>
  <c r="G83" i="50"/>
  <c r="L83" i="50" s="1"/>
  <c r="G86" i="50"/>
  <c r="L86" i="50" s="1"/>
  <c r="AQ58" i="50"/>
  <c r="AA63" i="53"/>
  <c r="AD63" i="53" s="1"/>
  <c r="AQ68" i="50"/>
  <c r="AQ64" i="50"/>
  <c r="AP67" i="53"/>
  <c r="AR67" i="53" s="1"/>
  <c r="H80" i="53"/>
  <c r="AP68" i="53"/>
  <c r="AR68" i="53" s="1"/>
  <c r="H82" i="53"/>
  <c r="AA68" i="53"/>
  <c r="AD68" i="53" s="1"/>
  <c r="AA57" i="53"/>
  <c r="AD57" i="53" s="1"/>
  <c r="H84" i="53"/>
  <c r="AA64" i="53"/>
  <c r="AD64" i="53" s="1"/>
  <c r="AP60" i="53"/>
  <c r="AR60" i="53" s="1"/>
  <c r="H79" i="53"/>
  <c r="AP63" i="53"/>
  <c r="AR63" i="53" s="1"/>
  <c r="AP64" i="53"/>
  <c r="AR64" i="53" s="1"/>
  <c r="AP65" i="53"/>
  <c r="AR65" i="53" s="1"/>
  <c r="AP59" i="53"/>
  <c r="AR59" i="53" s="1"/>
  <c r="AQ65" i="50"/>
  <c r="G85" i="50"/>
  <c r="L85" i="50" s="1"/>
  <c r="G80" i="50"/>
  <c r="L80" i="50" s="1"/>
  <c r="K70" i="53"/>
  <c r="N70" i="53" s="1"/>
  <c r="O70" i="53" s="1"/>
  <c r="G82" i="50"/>
  <c r="L82" i="50" s="1"/>
  <c r="G88" i="50"/>
  <c r="L88" i="50" s="1"/>
  <c r="G88" i="53"/>
  <c r="G86" i="53"/>
  <c r="AQ62" i="50"/>
  <c r="G87" i="50"/>
  <c r="H77" i="53"/>
  <c r="H87" i="53"/>
  <c r="AA65" i="53"/>
  <c r="AD65" i="53" s="1"/>
  <c r="AN70" i="50"/>
  <c r="AP67" i="50" s="1"/>
  <c r="AQ67" i="50" s="1"/>
  <c r="G84" i="50"/>
  <c r="L84" i="50" s="1"/>
  <c r="H83" i="53"/>
  <c r="AA66" i="53"/>
  <c r="AD66" i="53" s="1"/>
  <c r="G79" i="53"/>
  <c r="AL72" i="50"/>
  <c r="G81" i="50"/>
  <c r="L81" i="50" s="1"/>
  <c r="G79" i="50"/>
  <c r="L79" i="50" s="1"/>
  <c r="H78" i="53"/>
  <c r="G77" i="50"/>
  <c r="L77" i="50" s="1"/>
  <c r="G78" i="50"/>
  <c r="L78" i="50" s="1"/>
  <c r="G78" i="53"/>
  <c r="H86" i="53"/>
  <c r="AA59" i="53"/>
  <c r="AD59" i="53" s="1"/>
  <c r="AP62" i="53"/>
  <c r="AR62" i="53" s="1"/>
  <c r="AQ66" i="50"/>
  <c r="G82" i="53"/>
  <c r="H85" i="53"/>
  <c r="AB69" i="53"/>
  <c r="AA60" i="53"/>
  <c r="AL72" i="53"/>
  <c r="AL69" i="53"/>
  <c r="AP66" i="53"/>
  <c r="AR66" i="53" s="1"/>
  <c r="AQ61" i="50"/>
  <c r="AS57" i="53"/>
  <c r="AC69" i="53"/>
  <c r="AS63" i="53"/>
  <c r="AS64" i="53"/>
  <c r="G84" i="53"/>
  <c r="AN70" i="53"/>
  <c r="AP57" i="53"/>
  <c r="AR57" i="53" s="1"/>
  <c r="AL69" i="50"/>
  <c r="AS61" i="50"/>
  <c r="AS68" i="53"/>
  <c r="G80" i="53"/>
  <c r="G77" i="53"/>
  <c r="Z70" i="53"/>
  <c r="AA70" i="53" s="1"/>
  <c r="Z72" i="53"/>
  <c r="G83" i="53"/>
  <c r="Z69" i="53"/>
  <c r="AP58" i="53"/>
  <c r="AR58" i="53" s="1"/>
  <c r="AS65" i="53"/>
  <c r="G81" i="53"/>
  <c r="G85" i="53"/>
  <c r="AP61" i="53"/>
  <c r="AR61" i="53" s="1"/>
  <c r="H88" i="53"/>
  <c r="G87" i="53"/>
  <c r="L72" i="53"/>
  <c r="K72" i="53"/>
  <c r="L69" i="53"/>
  <c r="K69" i="53"/>
  <c r="B38" i="60" s="1"/>
  <c r="AB42" i="50"/>
  <c r="AB42" i="53"/>
  <c r="AB41" i="50"/>
  <c r="AB41" i="53"/>
  <c r="G77" i="1"/>
  <c r="H88" i="1"/>
  <c r="G88" i="1"/>
  <c r="H77" i="1"/>
  <c r="H85" i="1"/>
  <c r="G79" i="1"/>
  <c r="G84" i="1"/>
  <c r="H80" i="1"/>
  <c r="G87" i="1"/>
  <c r="G78" i="1"/>
  <c r="H83" i="1"/>
  <c r="G85" i="1"/>
  <c r="G83" i="1"/>
  <c r="H84" i="1"/>
  <c r="N69" i="1"/>
  <c r="G86" i="1"/>
  <c r="H86" i="1"/>
  <c r="G82" i="1"/>
  <c r="H81" i="1"/>
  <c r="H87" i="1"/>
  <c r="G81" i="1"/>
  <c r="G80" i="1"/>
  <c r="H82" i="1"/>
  <c r="H79" i="1"/>
  <c r="H78" i="1"/>
  <c r="P38" i="1"/>
  <c r="X84" i="1" s="1"/>
  <c r="N72" i="1"/>
  <c r="L72" i="1"/>
  <c r="AS63" i="1"/>
  <c r="AQ61" i="1"/>
  <c r="AS62" i="1"/>
  <c r="AQ62" i="1"/>
  <c r="AQ64" i="1"/>
  <c r="AQ58" i="1"/>
  <c r="AS58" i="1"/>
  <c r="AQ65" i="1"/>
  <c r="AQ68" i="1"/>
  <c r="AQ63" i="1"/>
  <c r="AQ60" i="1"/>
  <c r="AS60" i="1"/>
  <c r="AS68" i="1"/>
  <c r="AS64" i="1"/>
  <c r="AQ57" i="1"/>
  <c r="AN70" i="1"/>
  <c r="AP67" i="1" s="1"/>
  <c r="AP70" i="1" s="1"/>
  <c r="AL69" i="1"/>
  <c r="AS61" i="1"/>
  <c r="AS66" i="1"/>
  <c r="AQ66" i="1"/>
  <c r="AS57" i="1"/>
  <c r="AL72" i="1"/>
  <c r="AL55" i="9"/>
  <c r="AQ52" i="9"/>
  <c r="AR52" i="9"/>
  <c r="AT52" i="9" s="1"/>
  <c r="AR49" i="9"/>
  <c r="AT49" i="9" s="1"/>
  <c r="AQ49" i="9"/>
  <c r="AP55" i="9"/>
  <c r="AL75" i="1"/>
  <c r="C30" i="33" s="1"/>
  <c r="AB41" i="1"/>
  <c r="AB42" i="1"/>
  <c r="AI55" i="9"/>
  <c r="AR51" i="9"/>
  <c r="AT51" i="9" s="1"/>
  <c r="AQ51" i="9"/>
  <c r="AD41" i="1"/>
  <c r="AD45" i="1" s="1"/>
  <c r="AD42" i="1"/>
  <c r="AQ50" i="9"/>
  <c r="AR50" i="9"/>
  <c r="AT50" i="9" s="1"/>
  <c r="AJ55" i="9"/>
  <c r="AT54" i="9"/>
  <c r="AF46" i="51"/>
  <c r="AD46" i="50"/>
  <c r="AF46" i="50"/>
  <c r="AF46" i="53"/>
  <c r="AB46" i="53"/>
  <c r="AD46" i="1"/>
  <c r="AD46" i="53"/>
  <c r="AB46" i="51"/>
  <c r="AB46" i="1"/>
  <c r="AD46" i="51"/>
  <c r="AF46" i="1"/>
  <c r="AB46" i="50"/>
  <c r="AB43" i="1"/>
  <c r="AQ60" i="51" l="1"/>
  <c r="AT60" i="51" s="1"/>
  <c r="AR67" i="50"/>
  <c r="AR72" i="50" s="1"/>
  <c r="I77" i="1"/>
  <c r="L77" i="1"/>
  <c r="I86" i="1"/>
  <c r="L86" i="1"/>
  <c r="I87" i="51"/>
  <c r="I84" i="1"/>
  <c r="L84" i="1"/>
  <c r="I80" i="51"/>
  <c r="I80" i="1"/>
  <c r="L80" i="1"/>
  <c r="I79" i="1"/>
  <c r="L79" i="1"/>
  <c r="AR67" i="1"/>
  <c r="AR72" i="1" s="1"/>
  <c r="I87" i="1"/>
  <c r="I81" i="1"/>
  <c r="L81" i="1"/>
  <c r="I83" i="1"/>
  <c r="L83" i="1"/>
  <c r="M88" i="51"/>
  <c r="I85" i="51"/>
  <c r="I85" i="1"/>
  <c r="L85" i="1"/>
  <c r="I86" i="51"/>
  <c r="M83" i="51"/>
  <c r="I88" i="1"/>
  <c r="L88" i="1"/>
  <c r="I84" i="51"/>
  <c r="I79" i="51"/>
  <c r="I82" i="1"/>
  <c r="L82" i="1"/>
  <c r="I78" i="1"/>
  <c r="L78" i="1"/>
  <c r="I81" i="51"/>
  <c r="I83" i="51"/>
  <c r="M85" i="51"/>
  <c r="X77" i="51"/>
  <c r="X85" i="51"/>
  <c r="X88" i="51"/>
  <c r="H92" i="51"/>
  <c r="AS72" i="51"/>
  <c r="AQ68" i="51"/>
  <c r="AT68" i="51" s="1"/>
  <c r="AQ57" i="51"/>
  <c r="AT57" i="51" s="1"/>
  <c r="M81" i="51"/>
  <c r="M79" i="51"/>
  <c r="M84" i="51"/>
  <c r="X84" i="51"/>
  <c r="X83" i="51"/>
  <c r="X82" i="51"/>
  <c r="X87" i="51"/>
  <c r="AQ65" i="51"/>
  <c r="AT65" i="51" s="1"/>
  <c r="X80" i="51"/>
  <c r="AQ64" i="51"/>
  <c r="AT64" i="51" s="1"/>
  <c r="X81" i="51"/>
  <c r="X78" i="51"/>
  <c r="J83" i="51"/>
  <c r="L83" i="51" s="1"/>
  <c r="J79" i="51"/>
  <c r="L79" i="51" s="1"/>
  <c r="J88" i="51"/>
  <c r="L88" i="51" s="1"/>
  <c r="J84" i="51"/>
  <c r="L84" i="51" s="1"/>
  <c r="J85" i="51"/>
  <c r="L85" i="51" s="1"/>
  <c r="J87" i="51"/>
  <c r="L87" i="51" s="1"/>
  <c r="J77" i="51"/>
  <c r="K77" i="51" s="1"/>
  <c r="AQ59" i="51"/>
  <c r="AT59" i="51" s="1"/>
  <c r="I82" i="51"/>
  <c r="J78" i="51"/>
  <c r="L78" i="51" s="1"/>
  <c r="J80" i="51"/>
  <c r="L80" i="51" s="1"/>
  <c r="J86" i="51"/>
  <c r="L86" i="51" s="1"/>
  <c r="M82" i="51"/>
  <c r="J82" i="51"/>
  <c r="L82" i="51" s="1"/>
  <c r="J81" i="51"/>
  <c r="L81" i="51" s="1"/>
  <c r="M80" i="51"/>
  <c r="AQ67" i="51"/>
  <c r="AT67" i="51" s="1"/>
  <c r="H90" i="51"/>
  <c r="AQ61" i="51"/>
  <c r="AT61" i="51" s="1"/>
  <c r="AQ58" i="51"/>
  <c r="AT58" i="51" s="1"/>
  <c r="I88" i="51"/>
  <c r="AQ62" i="51"/>
  <c r="AQ63" i="51"/>
  <c r="G92" i="51"/>
  <c r="M77" i="51"/>
  <c r="M87" i="51"/>
  <c r="V81" i="51"/>
  <c r="V85" i="51"/>
  <c r="I77" i="51"/>
  <c r="G89" i="51"/>
  <c r="C19" i="52" s="1"/>
  <c r="V87" i="51"/>
  <c r="V88" i="51"/>
  <c r="AR69" i="51"/>
  <c r="G18" i="52" s="1"/>
  <c r="AQ66" i="51"/>
  <c r="AT66" i="51" s="1"/>
  <c r="AT59" i="1"/>
  <c r="AS69" i="51"/>
  <c r="H18" i="52" s="1"/>
  <c r="E26" i="33"/>
  <c r="V86" i="51"/>
  <c r="V82" i="51"/>
  <c r="V77" i="51"/>
  <c r="AR72" i="51"/>
  <c r="AP72" i="51"/>
  <c r="V84" i="51"/>
  <c r="V78" i="51"/>
  <c r="V80" i="51"/>
  <c r="V79" i="51"/>
  <c r="V83" i="51"/>
  <c r="AP70" i="51"/>
  <c r="AQ70" i="51" s="1"/>
  <c r="AP69" i="51"/>
  <c r="E18" i="52" s="1"/>
  <c r="AN72" i="51"/>
  <c r="AO69" i="53"/>
  <c r="AO69" i="50"/>
  <c r="AO69" i="51"/>
  <c r="D18" i="52" s="1"/>
  <c r="AT65" i="50"/>
  <c r="I77" i="50"/>
  <c r="I84" i="50"/>
  <c r="M88" i="53"/>
  <c r="I88" i="53"/>
  <c r="Y85" i="53"/>
  <c r="I82" i="53"/>
  <c r="K88" i="50"/>
  <c r="I88" i="50"/>
  <c r="K86" i="50"/>
  <c r="I86" i="50"/>
  <c r="K79" i="50"/>
  <c r="I79" i="50"/>
  <c r="M82" i="50"/>
  <c r="I82" i="50"/>
  <c r="K83" i="50"/>
  <c r="I83" i="50"/>
  <c r="I87" i="53"/>
  <c r="I83" i="53"/>
  <c r="M81" i="50"/>
  <c r="I81" i="50"/>
  <c r="Y78" i="50"/>
  <c r="K80" i="50"/>
  <c r="I80" i="50"/>
  <c r="M84" i="53"/>
  <c r="I84" i="53"/>
  <c r="M79" i="53"/>
  <c r="I79" i="53"/>
  <c r="M87" i="50"/>
  <c r="I87" i="50"/>
  <c r="I85" i="50"/>
  <c r="M77" i="53"/>
  <c r="I77" i="53"/>
  <c r="M78" i="53"/>
  <c r="I78" i="53"/>
  <c r="M85" i="53"/>
  <c r="I85" i="53"/>
  <c r="I81" i="53"/>
  <c r="M80" i="53"/>
  <c r="I80" i="53"/>
  <c r="M78" i="50"/>
  <c r="I78" i="50"/>
  <c r="M86" i="53"/>
  <c r="I86" i="53"/>
  <c r="C24" i="60"/>
  <c r="C22" i="60"/>
  <c r="C23" i="60"/>
  <c r="AO69" i="1"/>
  <c r="AB38" i="51"/>
  <c r="AN86" i="51" s="1"/>
  <c r="X86" i="51"/>
  <c r="K84" i="1"/>
  <c r="M87" i="1"/>
  <c r="K77" i="1"/>
  <c r="K79" i="1"/>
  <c r="C54" i="60"/>
  <c r="C30" i="60"/>
  <c r="Z105" i="1"/>
  <c r="B17" i="60"/>
  <c r="B47" i="60"/>
  <c r="B45" i="60"/>
  <c r="B46" i="60"/>
  <c r="C31" i="60"/>
  <c r="C29" i="60"/>
  <c r="B16" i="60"/>
  <c r="B37" i="60"/>
  <c r="D8" i="60"/>
  <c r="D6" i="60"/>
  <c r="C53" i="60"/>
  <c r="C55" i="60"/>
  <c r="B39" i="60"/>
  <c r="AN72" i="53"/>
  <c r="D7" i="60"/>
  <c r="AD72" i="51"/>
  <c r="AD69" i="51"/>
  <c r="AA105" i="51" s="1"/>
  <c r="AA69" i="51"/>
  <c r="F17" i="52" s="1"/>
  <c r="I17" i="52" s="1"/>
  <c r="K17" i="52" s="1"/>
  <c r="AA70" i="51"/>
  <c r="AD70" i="51" s="1"/>
  <c r="AE70" i="51" s="1"/>
  <c r="AA72" i="51"/>
  <c r="I26" i="33"/>
  <c r="D27" i="33"/>
  <c r="D9" i="60" s="1"/>
  <c r="F26" i="33"/>
  <c r="I16" i="52"/>
  <c r="K16" i="52" s="1"/>
  <c r="AD72" i="50"/>
  <c r="AD69" i="50"/>
  <c r="AA105" i="50" s="1"/>
  <c r="AA72" i="50"/>
  <c r="AA69" i="50"/>
  <c r="G26" i="33" s="1"/>
  <c r="H92" i="50"/>
  <c r="N69" i="50"/>
  <c r="Z105" i="50" s="1"/>
  <c r="X81" i="50"/>
  <c r="X87" i="50"/>
  <c r="V82" i="50"/>
  <c r="AB82" i="50" s="1"/>
  <c r="X86" i="50"/>
  <c r="X83" i="50"/>
  <c r="X84" i="50"/>
  <c r="X82" i="50"/>
  <c r="X88" i="50"/>
  <c r="X80" i="50"/>
  <c r="V85" i="50"/>
  <c r="AB85" i="50" s="1"/>
  <c r="X78" i="50"/>
  <c r="X77" i="50"/>
  <c r="X79" i="50"/>
  <c r="V87" i="50"/>
  <c r="X85" i="50"/>
  <c r="AB38" i="53"/>
  <c r="AN82" i="53" s="1"/>
  <c r="V81" i="50"/>
  <c r="AB81" i="50" s="1"/>
  <c r="V86" i="50"/>
  <c r="AB86" i="50" s="1"/>
  <c r="V77" i="50"/>
  <c r="AB77" i="50" s="1"/>
  <c r="V84" i="50"/>
  <c r="AB84" i="50" s="1"/>
  <c r="V88" i="50"/>
  <c r="AB88" i="50" s="1"/>
  <c r="V79" i="50"/>
  <c r="AB79" i="50" s="1"/>
  <c r="V80" i="50"/>
  <c r="AB80" i="50" s="1"/>
  <c r="V83" i="50"/>
  <c r="AB83" i="50" s="1"/>
  <c r="N72" i="53"/>
  <c r="X79" i="53"/>
  <c r="X81" i="53"/>
  <c r="X84" i="53"/>
  <c r="X83" i="53"/>
  <c r="X78" i="53"/>
  <c r="X88" i="53"/>
  <c r="X77" i="53"/>
  <c r="X87" i="53"/>
  <c r="X80" i="53"/>
  <c r="X82" i="53"/>
  <c r="X86" i="53"/>
  <c r="X85" i="53"/>
  <c r="AT62" i="50"/>
  <c r="AB69" i="1"/>
  <c r="K86" i="51"/>
  <c r="AT60" i="50"/>
  <c r="AT59" i="50"/>
  <c r="AT58" i="50"/>
  <c r="V83" i="53"/>
  <c r="AT63" i="50"/>
  <c r="V82" i="53"/>
  <c r="V78" i="53"/>
  <c r="V86" i="53"/>
  <c r="V79" i="53"/>
  <c r="V77" i="53"/>
  <c r="V80" i="53"/>
  <c r="V84" i="53"/>
  <c r="V87" i="53"/>
  <c r="V88" i="53"/>
  <c r="V81" i="53"/>
  <c r="AB38" i="50"/>
  <c r="AL87" i="50" s="1"/>
  <c r="M79" i="50"/>
  <c r="M80" i="50"/>
  <c r="AD67" i="1"/>
  <c r="AD69" i="1" s="1"/>
  <c r="M86" i="50"/>
  <c r="AA72" i="1"/>
  <c r="AT57" i="50"/>
  <c r="M83" i="50"/>
  <c r="M85" i="50"/>
  <c r="AT64" i="50"/>
  <c r="AQ68" i="53"/>
  <c r="AT68" i="53" s="1"/>
  <c r="AT66" i="50"/>
  <c r="M84" i="50"/>
  <c r="K85" i="50"/>
  <c r="AD60" i="53"/>
  <c r="AD69" i="53" s="1"/>
  <c r="AT68" i="50"/>
  <c r="AQ60" i="53"/>
  <c r="AT60" i="53" s="1"/>
  <c r="AB72" i="53"/>
  <c r="AQ65" i="53"/>
  <c r="AT65" i="53" s="1"/>
  <c r="K78" i="50"/>
  <c r="K81" i="50"/>
  <c r="AQ67" i="53"/>
  <c r="AT67" i="53" s="1"/>
  <c r="AN72" i="50"/>
  <c r="AA69" i="53"/>
  <c r="C38" i="60" s="1"/>
  <c r="AQ58" i="53"/>
  <c r="AT58" i="53" s="1"/>
  <c r="J88" i="53"/>
  <c r="L88" i="53" s="1"/>
  <c r="AQ66" i="53"/>
  <c r="AT66" i="53" s="1"/>
  <c r="K82" i="50"/>
  <c r="AP69" i="50"/>
  <c r="AA72" i="53"/>
  <c r="AQ64" i="53"/>
  <c r="AT64" i="53" s="1"/>
  <c r="M88" i="50"/>
  <c r="J81" i="53"/>
  <c r="L81" i="53" s="1"/>
  <c r="AP72" i="50"/>
  <c r="AP70" i="50"/>
  <c r="H90" i="50"/>
  <c r="J87" i="50" s="1"/>
  <c r="K87" i="50" s="1"/>
  <c r="AQ63" i="53"/>
  <c r="AT63" i="53" s="1"/>
  <c r="AQ61" i="53"/>
  <c r="AT61" i="53" s="1"/>
  <c r="AQ69" i="50"/>
  <c r="J82" i="53"/>
  <c r="L82" i="53" s="1"/>
  <c r="AR69" i="53"/>
  <c r="AQ59" i="53"/>
  <c r="J87" i="53"/>
  <c r="K87" i="53" s="1"/>
  <c r="AS72" i="53"/>
  <c r="AP70" i="53"/>
  <c r="AQ70" i="53" s="1"/>
  <c r="H92" i="53"/>
  <c r="K84" i="50"/>
  <c r="J80" i="53"/>
  <c r="L80" i="53" s="1"/>
  <c r="G92" i="50"/>
  <c r="G89" i="50"/>
  <c r="M82" i="53"/>
  <c r="AB70" i="53"/>
  <c r="AD70" i="53" s="1"/>
  <c r="AE70" i="53" s="1"/>
  <c r="AQ62" i="53"/>
  <c r="AT62" i="53" s="1"/>
  <c r="K77" i="50"/>
  <c r="M81" i="53"/>
  <c r="AQ57" i="53"/>
  <c r="AT57" i="53" s="1"/>
  <c r="AQ72" i="50"/>
  <c r="M77" i="50"/>
  <c r="AT61" i="50"/>
  <c r="AS69" i="53"/>
  <c r="M87" i="53"/>
  <c r="G92" i="53"/>
  <c r="H90" i="53"/>
  <c r="AS69" i="50"/>
  <c r="G89" i="53"/>
  <c r="M83" i="53"/>
  <c r="J77" i="53"/>
  <c r="K77" i="53" s="1"/>
  <c r="AS72" i="50"/>
  <c r="J84" i="53"/>
  <c r="L84" i="53" s="1"/>
  <c r="J85" i="53"/>
  <c r="L85" i="53" s="1"/>
  <c r="J79" i="53"/>
  <c r="L79" i="53" s="1"/>
  <c r="AP69" i="53"/>
  <c r="J86" i="53"/>
  <c r="L86" i="53" s="1"/>
  <c r="J78" i="53"/>
  <c r="L78" i="53" s="1"/>
  <c r="J83" i="53"/>
  <c r="L83" i="53" s="1"/>
  <c r="AP72" i="53"/>
  <c r="Z104" i="53"/>
  <c r="AA104" i="53" s="1"/>
  <c r="G19" i="22" s="1"/>
  <c r="K83" i="1"/>
  <c r="K88" i="1"/>
  <c r="V104" i="53"/>
  <c r="W104" i="53" s="1"/>
  <c r="AC85" i="53"/>
  <c r="K85" i="1"/>
  <c r="M77" i="1"/>
  <c r="M81" i="1"/>
  <c r="M80" i="1"/>
  <c r="M88" i="1"/>
  <c r="K82" i="1"/>
  <c r="K80" i="1"/>
  <c r="X79" i="1"/>
  <c r="M85" i="1"/>
  <c r="M83" i="1"/>
  <c r="G92" i="1"/>
  <c r="X87" i="1"/>
  <c r="K86" i="1"/>
  <c r="X85" i="1"/>
  <c r="K81" i="1"/>
  <c r="H90" i="1"/>
  <c r="J87" i="1" s="1"/>
  <c r="J90" i="1" s="1"/>
  <c r="X83" i="1"/>
  <c r="X82" i="1"/>
  <c r="X80" i="1"/>
  <c r="M84" i="1"/>
  <c r="M82" i="1"/>
  <c r="M79" i="1"/>
  <c r="M78" i="1"/>
  <c r="G89" i="1"/>
  <c r="X78" i="1"/>
  <c r="H92" i="1"/>
  <c r="K78" i="1"/>
  <c r="X88" i="1"/>
  <c r="X86" i="1"/>
  <c r="M86" i="1"/>
  <c r="X81" i="1"/>
  <c r="H25" i="33"/>
  <c r="J25" i="33" s="1"/>
  <c r="AT63" i="1"/>
  <c r="AB38" i="1"/>
  <c r="AL80" i="1" s="1"/>
  <c r="V83" i="1"/>
  <c r="V80" i="1"/>
  <c r="V85" i="1"/>
  <c r="V86" i="1"/>
  <c r="V78" i="1"/>
  <c r="V79" i="1"/>
  <c r="V87" i="1"/>
  <c r="V88" i="1"/>
  <c r="V82" i="1"/>
  <c r="V84" i="1"/>
  <c r="V77" i="1"/>
  <c r="V81" i="1"/>
  <c r="X77" i="1"/>
  <c r="AT62" i="1"/>
  <c r="AT61" i="1"/>
  <c r="AT64" i="1"/>
  <c r="AT65" i="1"/>
  <c r="AT58" i="1"/>
  <c r="AT60" i="1"/>
  <c r="AT68" i="1"/>
  <c r="AN72" i="1"/>
  <c r="AP69" i="1"/>
  <c r="AP72" i="1"/>
  <c r="AQ67" i="1"/>
  <c r="AQ72" i="1" s="1"/>
  <c r="AS69" i="1"/>
  <c r="AT57" i="1"/>
  <c r="AS72" i="1"/>
  <c r="AT66" i="1"/>
  <c r="AT55" i="9"/>
  <c r="AQ55" i="9"/>
  <c r="AR55" i="9"/>
  <c r="C31" i="33"/>
  <c r="G52" i="1"/>
  <c r="AA78" i="50"/>
  <c r="AC78" i="50"/>
  <c r="K84" i="51" l="1"/>
  <c r="N84" i="51" s="1"/>
  <c r="K85" i="51"/>
  <c r="N85" i="51" s="1"/>
  <c r="K88" i="51"/>
  <c r="N88" i="51" s="1"/>
  <c r="L87" i="1"/>
  <c r="L92" i="1" s="1"/>
  <c r="Y87" i="51"/>
  <c r="Y85" i="1"/>
  <c r="AB85" i="1"/>
  <c r="AC79" i="51"/>
  <c r="Y86" i="51"/>
  <c r="Y77" i="1"/>
  <c r="AB77" i="1"/>
  <c r="Y84" i="1"/>
  <c r="AB84" i="1"/>
  <c r="Y80" i="1"/>
  <c r="AB80" i="1"/>
  <c r="Y80" i="51"/>
  <c r="L77" i="53"/>
  <c r="N77" i="53" s="1"/>
  <c r="Y86" i="1"/>
  <c r="AB86" i="1"/>
  <c r="Y83" i="1"/>
  <c r="AB83" i="1"/>
  <c r="Y78" i="51"/>
  <c r="L77" i="51"/>
  <c r="N77" i="51" s="1"/>
  <c r="L87" i="53"/>
  <c r="N87" i="53" s="1"/>
  <c r="Y82" i="51"/>
  <c r="Y82" i="1"/>
  <c r="AB82" i="1"/>
  <c r="Y88" i="1"/>
  <c r="AB88" i="1"/>
  <c r="AO80" i="1"/>
  <c r="AR80" i="1"/>
  <c r="AC84" i="51"/>
  <c r="Y81" i="51"/>
  <c r="L87" i="50"/>
  <c r="N87" i="50" s="1"/>
  <c r="Y87" i="1"/>
  <c r="Y81" i="1"/>
  <c r="AB81" i="1"/>
  <c r="Y79" i="1"/>
  <c r="AB79" i="1"/>
  <c r="Y78" i="1"/>
  <c r="AB78" i="1"/>
  <c r="Y77" i="51"/>
  <c r="Y88" i="51"/>
  <c r="K79" i="51"/>
  <c r="N79" i="51" s="1"/>
  <c r="K78" i="51"/>
  <c r="N78" i="51" s="1"/>
  <c r="AC80" i="51"/>
  <c r="K87" i="51"/>
  <c r="N87" i="51" s="1"/>
  <c r="K82" i="51"/>
  <c r="N82" i="51" s="1"/>
  <c r="AC81" i="51"/>
  <c r="N86" i="51"/>
  <c r="K83" i="51"/>
  <c r="N83" i="51" s="1"/>
  <c r="J92" i="51"/>
  <c r="Z85" i="51"/>
  <c r="AB85" i="51" s="1"/>
  <c r="J90" i="51"/>
  <c r="K90" i="51" s="1"/>
  <c r="K81" i="51"/>
  <c r="N81" i="51" s="1"/>
  <c r="J89" i="51"/>
  <c r="E19" i="52" s="1"/>
  <c r="K80" i="51"/>
  <c r="N80" i="51" s="1"/>
  <c r="AC88" i="51"/>
  <c r="AC86" i="51"/>
  <c r="Z86" i="51"/>
  <c r="AB86" i="51" s="1"/>
  <c r="Z77" i="51"/>
  <c r="AB77" i="51" s="1"/>
  <c r="AC85" i="51"/>
  <c r="I89" i="51"/>
  <c r="D19" i="52" s="1"/>
  <c r="AQ69" i="51"/>
  <c r="F18" i="52" s="1"/>
  <c r="I18" i="52" s="1"/>
  <c r="K18" i="52" s="1"/>
  <c r="Z88" i="51"/>
  <c r="AB88" i="51" s="1"/>
  <c r="Z83" i="51"/>
  <c r="AB83" i="51" s="1"/>
  <c r="Z81" i="51"/>
  <c r="AB81" i="51" s="1"/>
  <c r="Z80" i="51"/>
  <c r="AB80" i="51" s="1"/>
  <c r="M92" i="51"/>
  <c r="Y85" i="51"/>
  <c r="AT62" i="51"/>
  <c r="AQ72" i="51"/>
  <c r="AT63" i="51"/>
  <c r="M89" i="51"/>
  <c r="H19" i="52" s="1"/>
  <c r="Z78" i="51"/>
  <c r="AB78" i="51" s="1"/>
  <c r="AC78" i="51"/>
  <c r="AC87" i="51"/>
  <c r="Z87" i="51"/>
  <c r="AB87" i="51" s="1"/>
  <c r="AR70" i="51"/>
  <c r="AT70" i="51" s="1"/>
  <c r="AU70" i="51" s="1"/>
  <c r="Z82" i="51"/>
  <c r="AB82" i="51" s="1"/>
  <c r="Z79" i="51"/>
  <c r="AB79" i="51" s="1"/>
  <c r="Y79" i="51"/>
  <c r="AC82" i="51"/>
  <c r="AC77" i="51"/>
  <c r="AL78" i="51"/>
  <c r="AL79" i="51"/>
  <c r="AS79" i="51" s="1"/>
  <c r="AL87" i="51"/>
  <c r="AL85" i="51"/>
  <c r="AC83" i="51"/>
  <c r="AN80" i="51"/>
  <c r="AN88" i="51"/>
  <c r="Y83" i="51"/>
  <c r="AL80" i="51"/>
  <c r="AN77" i="51"/>
  <c r="AN85" i="51"/>
  <c r="AL82" i="51"/>
  <c r="AN79" i="51"/>
  <c r="AN87" i="51"/>
  <c r="Z84" i="51"/>
  <c r="AB84" i="51" s="1"/>
  <c r="V92" i="51"/>
  <c r="X90" i="51"/>
  <c r="V89" i="51"/>
  <c r="C20" i="52" s="1"/>
  <c r="Y84" i="51"/>
  <c r="I89" i="53"/>
  <c r="AL77" i="51"/>
  <c r="Y77" i="53"/>
  <c r="AN82" i="51"/>
  <c r="AC81" i="50"/>
  <c r="Y81" i="50"/>
  <c r="AL81" i="51"/>
  <c r="AL88" i="51"/>
  <c r="AO87" i="50"/>
  <c r="Y79" i="53"/>
  <c r="AN83" i="51"/>
  <c r="AC83" i="50"/>
  <c r="Y83" i="50"/>
  <c r="Y86" i="53"/>
  <c r="AC80" i="50"/>
  <c r="Y80" i="50"/>
  <c r="AL83" i="51"/>
  <c r="AL84" i="51"/>
  <c r="Y81" i="53"/>
  <c r="AC78" i="53"/>
  <c r="Y78" i="53"/>
  <c r="AN81" i="51"/>
  <c r="AN84" i="51"/>
  <c r="AA79" i="50"/>
  <c r="Y79" i="50"/>
  <c r="AC87" i="50"/>
  <c r="Y87" i="50"/>
  <c r="Y88" i="53"/>
  <c r="Y82" i="53"/>
  <c r="AA88" i="50"/>
  <c r="Y88" i="50"/>
  <c r="AL86" i="51"/>
  <c r="Y87" i="53"/>
  <c r="AN78" i="51"/>
  <c r="AA84" i="50"/>
  <c r="Y84" i="50"/>
  <c r="I89" i="50"/>
  <c r="Y84" i="53"/>
  <c r="Y83" i="53"/>
  <c r="Y77" i="50"/>
  <c r="AC82" i="50"/>
  <c r="Y82" i="50"/>
  <c r="Y80" i="53"/>
  <c r="AC86" i="50"/>
  <c r="Y86" i="50"/>
  <c r="Y85" i="50"/>
  <c r="E27" i="33"/>
  <c r="D24" i="60"/>
  <c r="D23" i="60"/>
  <c r="D22" i="60"/>
  <c r="AA79" i="1"/>
  <c r="AA78" i="1"/>
  <c r="AA86" i="1"/>
  <c r="AA77" i="1"/>
  <c r="AA85" i="1"/>
  <c r="AA81" i="1"/>
  <c r="AA84" i="1"/>
  <c r="AA80" i="1"/>
  <c r="AC87" i="1"/>
  <c r="AA82" i="1"/>
  <c r="AA83" i="1"/>
  <c r="I89" i="1"/>
  <c r="AA88" i="1"/>
  <c r="D53" i="60"/>
  <c r="D55" i="60"/>
  <c r="D30" i="60"/>
  <c r="F27" i="33"/>
  <c r="D31" i="60"/>
  <c r="D29" i="60"/>
  <c r="D54" i="60"/>
  <c r="B15" i="60"/>
  <c r="H26" i="33"/>
  <c r="J26" i="33" s="1"/>
  <c r="K26" i="33" s="1"/>
  <c r="L26" i="33" s="1"/>
  <c r="C47" i="60"/>
  <c r="C45" i="60"/>
  <c r="C46" i="60"/>
  <c r="C37" i="60"/>
  <c r="G54" i="60"/>
  <c r="C39" i="60"/>
  <c r="AA105" i="1"/>
  <c r="C15" i="60"/>
  <c r="C17" i="60"/>
  <c r="C16" i="60"/>
  <c r="G7" i="60"/>
  <c r="E7" i="60"/>
  <c r="E6" i="60"/>
  <c r="E8" i="60"/>
  <c r="AN84" i="50"/>
  <c r="AN77" i="50"/>
  <c r="AN87" i="50"/>
  <c r="AN86" i="50"/>
  <c r="AN83" i="50"/>
  <c r="I27" i="33"/>
  <c r="D28" i="33"/>
  <c r="E9" i="60" s="1"/>
  <c r="AN87" i="53"/>
  <c r="AN83" i="53"/>
  <c r="AN77" i="53"/>
  <c r="AN78" i="53"/>
  <c r="AN80" i="53"/>
  <c r="AA81" i="50"/>
  <c r="AC85" i="50"/>
  <c r="AC84" i="50"/>
  <c r="AC88" i="50"/>
  <c r="AA86" i="50"/>
  <c r="L25" i="33"/>
  <c r="K25" i="33"/>
  <c r="AL77" i="53"/>
  <c r="AL84" i="53"/>
  <c r="AL85" i="53"/>
  <c r="AC77" i="50"/>
  <c r="AA77" i="50"/>
  <c r="AA82" i="50"/>
  <c r="AL79" i="53"/>
  <c r="AL80" i="53"/>
  <c r="AL86" i="53"/>
  <c r="AN84" i="53"/>
  <c r="AL82" i="53"/>
  <c r="AL88" i="53"/>
  <c r="AL83" i="53"/>
  <c r="AL78" i="53"/>
  <c r="AN86" i="53"/>
  <c r="AL87" i="53"/>
  <c r="AN81" i="53"/>
  <c r="AN79" i="53"/>
  <c r="AL81" i="53"/>
  <c r="AN88" i="53"/>
  <c r="AN85" i="53"/>
  <c r="AA85" i="50"/>
  <c r="X90" i="50"/>
  <c r="Z87" i="50" s="1"/>
  <c r="AA87" i="50" s="1"/>
  <c r="AA83" i="50"/>
  <c r="AC79" i="50"/>
  <c r="V92" i="50"/>
  <c r="AA80" i="50"/>
  <c r="V89" i="50"/>
  <c r="X92" i="50" s="1"/>
  <c r="AN88" i="50"/>
  <c r="AN85" i="50"/>
  <c r="AN82" i="50"/>
  <c r="Z87" i="53"/>
  <c r="AB87" i="53" s="1"/>
  <c r="Z84" i="53"/>
  <c r="AB84" i="53" s="1"/>
  <c r="Z80" i="53"/>
  <c r="AB80" i="53" s="1"/>
  <c r="Z77" i="53"/>
  <c r="AA77" i="53" s="1"/>
  <c r="Z79" i="53"/>
  <c r="AA79" i="53" s="1"/>
  <c r="Z83" i="53"/>
  <c r="AB83" i="53" s="1"/>
  <c r="Z81" i="53"/>
  <c r="AB81" i="53" s="1"/>
  <c r="Z86" i="53"/>
  <c r="AB86" i="53" s="1"/>
  <c r="Z85" i="53"/>
  <c r="AB85" i="53" s="1"/>
  <c r="Z88" i="53"/>
  <c r="AB88" i="53" s="1"/>
  <c r="Z82" i="53"/>
  <c r="AB82" i="53" s="1"/>
  <c r="AN79" i="50"/>
  <c r="AN78" i="50"/>
  <c r="AN81" i="50"/>
  <c r="AN80" i="50"/>
  <c r="AC83" i="53"/>
  <c r="AT67" i="50"/>
  <c r="AT69" i="50" s="1"/>
  <c r="AB105" i="50" s="1"/>
  <c r="AR69" i="50"/>
  <c r="N86" i="50"/>
  <c r="N80" i="50"/>
  <c r="N82" i="50"/>
  <c r="N81" i="50"/>
  <c r="AL78" i="50"/>
  <c r="AR78" i="50" s="1"/>
  <c r="AL82" i="50"/>
  <c r="AR82" i="50" s="1"/>
  <c r="AL85" i="50"/>
  <c r="AR85" i="50" s="1"/>
  <c r="AL83" i="50"/>
  <c r="AR83" i="50" s="1"/>
  <c r="AL84" i="50"/>
  <c r="AR84" i="50" s="1"/>
  <c r="AL79" i="50"/>
  <c r="AR79" i="50" s="1"/>
  <c r="Z78" i="53"/>
  <c r="AB78" i="53" s="1"/>
  <c r="AL88" i="50"/>
  <c r="AR88" i="50" s="1"/>
  <c r="AL77" i="50"/>
  <c r="AR77" i="50" s="1"/>
  <c r="AL81" i="50"/>
  <c r="AR81" i="50" s="1"/>
  <c r="AC88" i="53"/>
  <c r="AC86" i="53"/>
  <c r="AC81" i="53"/>
  <c r="J92" i="50"/>
  <c r="J90" i="50"/>
  <c r="AC77" i="53"/>
  <c r="AC79" i="53"/>
  <c r="AD72" i="1"/>
  <c r="AC84" i="53"/>
  <c r="AC82" i="53"/>
  <c r="AC80" i="53"/>
  <c r="V92" i="53"/>
  <c r="V89" i="53"/>
  <c r="X92" i="53" s="1"/>
  <c r="X90" i="53"/>
  <c r="AC87" i="53"/>
  <c r="AL86" i="50"/>
  <c r="AR86" i="50" s="1"/>
  <c r="AL80" i="50"/>
  <c r="AR80" i="50" s="1"/>
  <c r="J89" i="50"/>
  <c r="N85" i="50"/>
  <c r="AR70" i="53"/>
  <c r="AT70" i="53" s="1"/>
  <c r="N79" i="50"/>
  <c r="N83" i="50"/>
  <c r="AD72" i="53"/>
  <c r="N84" i="50"/>
  <c r="M92" i="50"/>
  <c r="N78" i="50"/>
  <c r="K89" i="50"/>
  <c r="AT59" i="53"/>
  <c r="AT72" i="53" s="1"/>
  <c r="K92" i="50"/>
  <c r="N83" i="1"/>
  <c r="K84" i="53"/>
  <c r="N84" i="53" s="1"/>
  <c r="K78" i="53"/>
  <c r="N78" i="53" s="1"/>
  <c r="K82" i="53"/>
  <c r="N82" i="53" s="1"/>
  <c r="K80" i="53"/>
  <c r="N80" i="53" s="1"/>
  <c r="K88" i="53"/>
  <c r="N88" i="53" s="1"/>
  <c r="AR72" i="53"/>
  <c r="N88" i="50"/>
  <c r="M89" i="53"/>
  <c r="K81" i="53"/>
  <c r="N81" i="53" s="1"/>
  <c r="N77" i="50"/>
  <c r="M92" i="53"/>
  <c r="M89" i="50"/>
  <c r="E19" i="22"/>
  <c r="V105" i="53"/>
  <c r="W105" i="53" s="1"/>
  <c r="F20" i="22" s="1"/>
  <c r="K86" i="53"/>
  <c r="K79" i="53"/>
  <c r="AQ72" i="53"/>
  <c r="K85" i="53"/>
  <c r="K83" i="53"/>
  <c r="N83" i="53" s="1"/>
  <c r="AQ69" i="53"/>
  <c r="J90" i="53"/>
  <c r="L90" i="53" s="1"/>
  <c r="J92" i="53"/>
  <c r="J89" i="53"/>
  <c r="Z105" i="53"/>
  <c r="E20" i="22" s="1"/>
  <c r="N88" i="1"/>
  <c r="AS80" i="1"/>
  <c r="AB104" i="53"/>
  <c r="H19" i="22" s="1"/>
  <c r="I19" i="22" s="1"/>
  <c r="F19" i="22"/>
  <c r="D19" i="22"/>
  <c r="N82" i="1"/>
  <c r="N85" i="1"/>
  <c r="AN83" i="1"/>
  <c r="N81" i="1"/>
  <c r="N80" i="1"/>
  <c r="N77" i="1"/>
  <c r="AL82" i="1"/>
  <c r="AN82" i="1"/>
  <c r="AL85" i="1"/>
  <c r="AL88" i="1"/>
  <c r="J89" i="1"/>
  <c r="K87" i="1"/>
  <c r="K92" i="1" s="1"/>
  <c r="N84" i="1"/>
  <c r="AL78" i="1"/>
  <c r="N86" i="1"/>
  <c r="M92" i="1"/>
  <c r="N78" i="1"/>
  <c r="J92" i="1"/>
  <c r="M89" i="1"/>
  <c r="N79" i="1"/>
  <c r="AN84" i="1"/>
  <c r="AL83" i="1"/>
  <c r="AN81" i="1"/>
  <c r="AN85" i="1"/>
  <c r="AN80" i="1"/>
  <c r="AN87" i="1"/>
  <c r="AN77" i="1"/>
  <c r="AL79" i="1"/>
  <c r="AN88" i="1"/>
  <c r="AL77" i="1"/>
  <c r="AL86" i="1"/>
  <c r="AL81" i="1"/>
  <c r="AL87" i="1"/>
  <c r="AN79" i="1"/>
  <c r="AL84" i="1"/>
  <c r="AN78" i="1"/>
  <c r="AN86" i="1"/>
  <c r="X90" i="1"/>
  <c r="Z87" i="1" s="1"/>
  <c r="Z89" i="1" s="1"/>
  <c r="AC88" i="1"/>
  <c r="AC79" i="1"/>
  <c r="AC78" i="1"/>
  <c r="AC81" i="1"/>
  <c r="AC86" i="1"/>
  <c r="V89" i="1"/>
  <c r="AC77" i="1"/>
  <c r="V92" i="1"/>
  <c r="AC85" i="1"/>
  <c r="AC84" i="1"/>
  <c r="AC80" i="1"/>
  <c r="AC82" i="1"/>
  <c r="AC83" i="1"/>
  <c r="AR69" i="1"/>
  <c r="AQ69" i="1"/>
  <c r="AT67" i="1"/>
  <c r="AQ80" i="1"/>
  <c r="AS87" i="50"/>
  <c r="AD78" i="50"/>
  <c r="AA80" i="51" l="1"/>
  <c r="AD80" i="51" s="1"/>
  <c r="L90" i="51"/>
  <c r="N90" i="51" s="1"/>
  <c r="O90" i="51" s="1"/>
  <c r="AP79" i="51"/>
  <c r="AR79" i="51" s="1"/>
  <c r="AA87" i="51"/>
  <c r="AD87" i="51" s="1"/>
  <c r="X92" i="51"/>
  <c r="AO81" i="1"/>
  <c r="AR81" i="1"/>
  <c r="AO79" i="1"/>
  <c r="AR79" i="1"/>
  <c r="AO87" i="1"/>
  <c r="AO85" i="1"/>
  <c r="AR85" i="1"/>
  <c r="AO79" i="51"/>
  <c r="AO80" i="51"/>
  <c r="AO86" i="1"/>
  <c r="AR86" i="1"/>
  <c r="AO82" i="1"/>
  <c r="AR82" i="1"/>
  <c r="AO77" i="1"/>
  <c r="AR77" i="1"/>
  <c r="AO78" i="1"/>
  <c r="AR78" i="1"/>
  <c r="AO78" i="51"/>
  <c r="AO83" i="1"/>
  <c r="AR83" i="1"/>
  <c r="AB87" i="50"/>
  <c r="AD87" i="50" s="1"/>
  <c r="AP84" i="51"/>
  <c r="AQ84" i="51" s="1"/>
  <c r="AS77" i="51"/>
  <c r="AB79" i="53"/>
  <c r="AD79" i="53" s="1"/>
  <c r="AB77" i="53"/>
  <c r="AD77" i="53" s="1"/>
  <c r="AO84" i="1"/>
  <c r="AR84" i="1"/>
  <c r="AP82" i="51"/>
  <c r="AR82" i="51" s="1"/>
  <c r="AS85" i="51"/>
  <c r="AB87" i="1"/>
  <c r="AB92" i="1" s="1"/>
  <c r="AO88" i="1"/>
  <c r="AR88" i="1"/>
  <c r="AS85" i="53"/>
  <c r="AS86" i="51"/>
  <c r="AS88" i="51"/>
  <c r="AS87" i="51"/>
  <c r="L92" i="51"/>
  <c r="L89" i="51"/>
  <c r="G19" i="52" s="1"/>
  <c r="AA78" i="51"/>
  <c r="AD78" i="51" s="1"/>
  <c r="AA84" i="51"/>
  <c r="AD84" i="51" s="1"/>
  <c r="AS82" i="51"/>
  <c r="AA88" i="51"/>
  <c r="AD88" i="51" s="1"/>
  <c r="AA85" i="51"/>
  <c r="AD85" i="51" s="1"/>
  <c r="N92" i="51"/>
  <c r="AO85" i="51"/>
  <c r="N89" i="51"/>
  <c r="AC105" i="51" s="1"/>
  <c r="K89" i="51"/>
  <c r="F19" i="52" s="1"/>
  <c r="K92" i="51"/>
  <c r="AT69" i="51"/>
  <c r="AB105" i="51" s="1"/>
  <c r="AA83" i="51"/>
  <c r="AD83" i="51" s="1"/>
  <c r="AA81" i="51"/>
  <c r="AD81" i="51" s="1"/>
  <c r="AA79" i="51"/>
  <c r="AD79" i="51" s="1"/>
  <c r="AB89" i="51"/>
  <c r="G20" i="52" s="1"/>
  <c r="AA77" i="51"/>
  <c r="AA86" i="51"/>
  <c r="AD86" i="51" s="1"/>
  <c r="AT72" i="51"/>
  <c r="AP87" i="51"/>
  <c r="AR87" i="51" s="1"/>
  <c r="AP77" i="51"/>
  <c r="AQ77" i="51" s="1"/>
  <c r="AP85" i="51"/>
  <c r="AR85" i="51" s="1"/>
  <c r="AO82" i="51"/>
  <c r="AP78" i="51"/>
  <c r="AR78" i="51" s="1"/>
  <c r="Z90" i="51"/>
  <c r="AB90" i="51" s="1"/>
  <c r="Z89" i="51"/>
  <c r="E20" i="52" s="1"/>
  <c r="AB92" i="51"/>
  <c r="AS78" i="51"/>
  <c r="AA82" i="51"/>
  <c r="AD82" i="51" s="1"/>
  <c r="AC89" i="51"/>
  <c r="H20" i="52" s="1"/>
  <c r="AC92" i="51"/>
  <c r="Y89" i="51"/>
  <c r="D20" i="52" s="1"/>
  <c r="AP80" i="51"/>
  <c r="AR80" i="51" s="1"/>
  <c r="AS80" i="51"/>
  <c r="AO87" i="51"/>
  <c r="Z92" i="51"/>
  <c r="AS84" i="51"/>
  <c r="E28" i="33"/>
  <c r="AP81" i="51"/>
  <c r="AQ81" i="51" s="1"/>
  <c r="AP88" i="51"/>
  <c r="AR88" i="51" s="1"/>
  <c r="AS81" i="51"/>
  <c r="AL89" i="51"/>
  <c r="C21" i="52" s="1"/>
  <c r="C22" i="52" s="1"/>
  <c r="AN90" i="51"/>
  <c r="AS83" i="51"/>
  <c r="AL92" i="51"/>
  <c r="AP83" i="51"/>
  <c r="AR83" i="51" s="1"/>
  <c r="AP86" i="51"/>
  <c r="AQ86" i="51" s="1"/>
  <c r="Y89" i="50"/>
  <c r="Y89" i="53"/>
  <c r="AQ86" i="50"/>
  <c r="AO86" i="50"/>
  <c r="AQ81" i="50"/>
  <c r="AO81" i="50"/>
  <c r="AS82" i="50"/>
  <c r="AO82" i="50"/>
  <c r="AS81" i="53"/>
  <c r="AO81" i="53"/>
  <c r="AO82" i="53"/>
  <c r="AO81" i="51"/>
  <c r="AO77" i="50"/>
  <c r="AQ78" i="50"/>
  <c r="AO78" i="50"/>
  <c r="AO85" i="53"/>
  <c r="AQ88" i="50"/>
  <c r="AO88" i="50"/>
  <c r="AS86" i="53"/>
  <c r="AO86" i="53"/>
  <c r="AS84" i="53"/>
  <c r="AO84" i="53"/>
  <c r="AS87" i="53"/>
  <c r="AO87" i="53"/>
  <c r="AS80" i="53"/>
  <c r="AO80" i="53"/>
  <c r="AS77" i="53"/>
  <c r="AO77" i="53"/>
  <c r="AO86" i="51"/>
  <c r="AO79" i="50"/>
  <c r="AS79" i="53"/>
  <c r="AO79" i="53"/>
  <c r="AO84" i="51"/>
  <c r="AS84" i="50"/>
  <c r="AO84" i="50"/>
  <c r="AS78" i="53"/>
  <c r="AO78" i="53"/>
  <c r="AO83" i="51"/>
  <c r="AS83" i="50"/>
  <c r="AO83" i="50"/>
  <c r="AO83" i="53"/>
  <c r="AD82" i="50"/>
  <c r="AQ80" i="50"/>
  <c r="AO80" i="50"/>
  <c r="AQ85" i="50"/>
  <c r="AO85" i="50"/>
  <c r="AS88" i="53"/>
  <c r="AO88" i="53"/>
  <c r="AO88" i="51"/>
  <c r="AO77" i="51"/>
  <c r="E23" i="60"/>
  <c r="E24" i="60"/>
  <c r="E22" i="60"/>
  <c r="AQ81" i="1"/>
  <c r="Y89" i="1"/>
  <c r="AS87" i="1"/>
  <c r="E30" i="60"/>
  <c r="E54" i="60"/>
  <c r="E55" i="60"/>
  <c r="E53" i="60"/>
  <c r="E31" i="60"/>
  <c r="E29" i="60"/>
  <c r="D47" i="60"/>
  <c r="D46" i="60"/>
  <c r="D45" i="60"/>
  <c r="G27" i="33"/>
  <c r="D39" i="60"/>
  <c r="D37" i="60"/>
  <c r="D38" i="60"/>
  <c r="F6" i="60"/>
  <c r="F8" i="60"/>
  <c r="F7" i="60"/>
  <c r="H7" i="60" s="1"/>
  <c r="D29" i="33"/>
  <c r="F9" i="60" s="1"/>
  <c r="F28" i="33"/>
  <c r="AD81" i="50"/>
  <c r="I28" i="33"/>
  <c r="H27" i="33"/>
  <c r="AD85" i="50"/>
  <c r="AD88" i="50"/>
  <c r="AD86" i="50"/>
  <c r="AD84" i="50"/>
  <c r="AP82" i="53"/>
  <c r="AR82" i="53" s="1"/>
  <c r="AA83" i="53"/>
  <c r="AD83" i="53" s="1"/>
  <c r="AD79" i="50"/>
  <c r="AD80" i="50"/>
  <c r="AC92" i="50"/>
  <c r="AC89" i="50"/>
  <c r="AS82" i="53"/>
  <c r="AD77" i="50"/>
  <c r="Z89" i="50"/>
  <c r="F29" i="33" s="1"/>
  <c r="AL89" i="53"/>
  <c r="AN92" i="53" s="1"/>
  <c r="AL92" i="53"/>
  <c r="AS83" i="53"/>
  <c r="AA89" i="50"/>
  <c r="AP81" i="53"/>
  <c r="AR81" i="53" s="1"/>
  <c r="AP84" i="53"/>
  <c r="AQ84" i="53" s="1"/>
  <c r="AP80" i="53"/>
  <c r="AR80" i="53" s="1"/>
  <c r="AP77" i="53"/>
  <c r="AR77" i="53" s="1"/>
  <c r="AP85" i="53"/>
  <c r="AR85" i="53" s="1"/>
  <c r="AP78" i="53"/>
  <c r="AR78" i="53" s="1"/>
  <c r="AN90" i="53"/>
  <c r="AP88" i="53"/>
  <c r="AR88" i="53" s="1"/>
  <c r="Z92" i="50"/>
  <c r="AP83" i="53"/>
  <c r="AR83" i="53" s="1"/>
  <c r="AP79" i="53"/>
  <c r="AR79" i="53" s="1"/>
  <c r="Z90" i="50"/>
  <c r="AP87" i="53"/>
  <c r="AQ87" i="53" s="1"/>
  <c r="AP86" i="53"/>
  <c r="AR86" i="53" s="1"/>
  <c r="AA87" i="53"/>
  <c r="AD87" i="53" s="1"/>
  <c r="AA85" i="53"/>
  <c r="AD85" i="53" s="1"/>
  <c r="AQ82" i="50"/>
  <c r="AA92" i="50"/>
  <c r="AD83" i="50"/>
  <c r="AQ84" i="50"/>
  <c r="AA82" i="53"/>
  <c r="AD82" i="53" s="1"/>
  <c r="AA80" i="53"/>
  <c r="AD80" i="53" s="1"/>
  <c r="AN90" i="50"/>
  <c r="AP87" i="50" s="1"/>
  <c r="AR87" i="50" s="1"/>
  <c r="AA84" i="53"/>
  <c r="AD84" i="53" s="1"/>
  <c r="AA88" i="53"/>
  <c r="AD88" i="53" s="1"/>
  <c r="AA81" i="53"/>
  <c r="AD81" i="53" s="1"/>
  <c r="AQ83" i="50"/>
  <c r="AA86" i="53"/>
  <c r="AD86" i="53" s="1"/>
  <c r="AT72" i="50"/>
  <c r="AA78" i="53"/>
  <c r="AD78" i="53" s="1"/>
  <c r="AS85" i="50"/>
  <c r="AS77" i="50"/>
  <c r="AQ77" i="50"/>
  <c r="AS78" i="50"/>
  <c r="L89" i="50"/>
  <c r="AS79" i="50"/>
  <c r="AQ79" i="50"/>
  <c r="AS86" i="50"/>
  <c r="Z89" i="53"/>
  <c r="F30" i="60" s="1"/>
  <c r="Z92" i="53"/>
  <c r="Z90" i="53"/>
  <c r="AB90" i="53" s="1"/>
  <c r="AS80" i="50"/>
  <c r="AS88" i="50"/>
  <c r="AS81" i="50"/>
  <c r="AL92" i="50"/>
  <c r="AL89" i="50"/>
  <c r="AC89" i="53"/>
  <c r="AC92" i="53"/>
  <c r="L92" i="50"/>
  <c r="AT69" i="53"/>
  <c r="AA105" i="53"/>
  <c r="G20" i="22" s="1"/>
  <c r="N86" i="53"/>
  <c r="N89" i="50"/>
  <c r="AC105" i="50" s="1"/>
  <c r="N79" i="53"/>
  <c r="D20" i="22"/>
  <c r="N92" i="50"/>
  <c r="K89" i="53"/>
  <c r="N85" i="53"/>
  <c r="L89" i="53"/>
  <c r="K90" i="53"/>
  <c r="N90" i="53" s="1"/>
  <c r="Z107" i="53" s="1"/>
  <c r="L92" i="53"/>
  <c r="AQ88" i="1"/>
  <c r="K92" i="53"/>
  <c r="AS88" i="1"/>
  <c r="AT80" i="1"/>
  <c r="AS82" i="1"/>
  <c r="AQ82" i="1"/>
  <c r="AS85" i="1"/>
  <c r="AQ85" i="1"/>
  <c r="AQ86" i="1"/>
  <c r="Z106" i="53"/>
  <c r="AU70" i="53"/>
  <c r="AS78" i="1"/>
  <c r="AQ78" i="1"/>
  <c r="AS86" i="1"/>
  <c r="K89" i="1"/>
  <c r="N87" i="1"/>
  <c r="N92" i="1" s="1"/>
  <c r="AQ79" i="1"/>
  <c r="AS79" i="1"/>
  <c r="AD77" i="1"/>
  <c r="AD88" i="1"/>
  <c r="Z90" i="1"/>
  <c r="AS77" i="1"/>
  <c r="L89" i="1"/>
  <c r="AQ77" i="1"/>
  <c r="AL89" i="1"/>
  <c r="AD78" i="1"/>
  <c r="AD79" i="1"/>
  <c r="AL92" i="1"/>
  <c r="AD84" i="1"/>
  <c r="AN90" i="1"/>
  <c r="AP87" i="1" s="1"/>
  <c r="AP90" i="1" s="1"/>
  <c r="AA87" i="1"/>
  <c r="AA92" i="1" s="1"/>
  <c r="AQ84" i="1"/>
  <c r="AD83" i="1"/>
  <c r="AS84" i="1"/>
  <c r="AD82" i="1"/>
  <c r="Z92" i="1"/>
  <c r="AS81" i="1"/>
  <c r="AS83" i="1"/>
  <c r="AQ83" i="1"/>
  <c r="AD80" i="1"/>
  <c r="AD86" i="1"/>
  <c r="AD85" i="1"/>
  <c r="AD81" i="1"/>
  <c r="AC89" i="1"/>
  <c r="AC92" i="1"/>
  <c r="X92" i="1"/>
  <c r="AT72" i="1"/>
  <c r="AT69" i="1"/>
  <c r="AQ79" i="51" l="1"/>
  <c r="AT79" i="51" s="1"/>
  <c r="AQ82" i="51"/>
  <c r="AT82" i="51" s="1"/>
  <c r="AR84" i="51"/>
  <c r="AT84" i="51" s="1"/>
  <c r="AR87" i="1"/>
  <c r="AR92" i="1" s="1"/>
  <c r="AR77" i="51"/>
  <c r="AT77" i="51" s="1"/>
  <c r="AR87" i="53"/>
  <c r="AT87" i="53" s="1"/>
  <c r="AR81" i="51"/>
  <c r="AT81" i="51" s="1"/>
  <c r="AR84" i="53"/>
  <c r="AT84" i="53" s="1"/>
  <c r="I19" i="52"/>
  <c r="K19" i="52" s="1"/>
  <c r="AR86" i="51"/>
  <c r="AT86" i="51" s="1"/>
  <c r="AQ85" i="51"/>
  <c r="AT85" i="51" s="1"/>
  <c r="AA89" i="51"/>
  <c r="F20" i="52" s="1"/>
  <c r="I20" i="52" s="1"/>
  <c r="K20" i="52" s="1"/>
  <c r="AD77" i="51"/>
  <c r="AD92" i="51" s="1"/>
  <c r="AQ87" i="51"/>
  <c r="AT87" i="51" s="1"/>
  <c r="AQ78" i="51"/>
  <c r="AT78" i="51" s="1"/>
  <c r="AQ88" i="51"/>
  <c r="AT88" i="51" s="1"/>
  <c r="AA92" i="51"/>
  <c r="AQ83" i="51"/>
  <c r="AT83" i="51" s="1"/>
  <c r="F31" i="60"/>
  <c r="AA90" i="51"/>
  <c r="AD90" i="51" s="1"/>
  <c r="AE90" i="51" s="1"/>
  <c r="AQ80" i="51"/>
  <c r="AS89" i="51"/>
  <c r="H21" i="52" s="1"/>
  <c r="H22" i="52" s="1"/>
  <c r="AP90" i="51"/>
  <c r="AR90" i="51" s="1"/>
  <c r="AS92" i="51"/>
  <c r="AP92" i="51"/>
  <c r="AN92" i="51"/>
  <c r="AP89" i="51"/>
  <c r="E21" i="52" s="1"/>
  <c r="E22" i="52" s="1"/>
  <c r="AO89" i="51"/>
  <c r="D21" i="52" s="1"/>
  <c r="D22" i="52" s="1"/>
  <c r="AO89" i="53"/>
  <c r="AO89" i="50"/>
  <c r="AP90" i="50"/>
  <c r="AR92" i="50"/>
  <c r="E29" i="33"/>
  <c r="F22" i="60"/>
  <c r="F24" i="60"/>
  <c r="F23" i="60"/>
  <c r="AO89" i="1"/>
  <c r="J27" i="33"/>
  <c r="K27" i="33" s="1"/>
  <c r="L27" i="33" s="1"/>
  <c r="F29" i="60"/>
  <c r="G8" i="60"/>
  <c r="H8" i="60" s="1"/>
  <c r="G6" i="60"/>
  <c r="H6" i="60" s="1"/>
  <c r="F55" i="60"/>
  <c r="F53" i="60"/>
  <c r="F54" i="60"/>
  <c r="H54" i="60" s="1"/>
  <c r="AB105" i="1"/>
  <c r="D16" i="60"/>
  <c r="D15" i="60"/>
  <c r="D17" i="60"/>
  <c r="E47" i="60"/>
  <c r="E46" i="60"/>
  <c r="E45" i="60"/>
  <c r="G28" i="33"/>
  <c r="E39" i="60"/>
  <c r="E38" i="60"/>
  <c r="E37" i="60"/>
  <c r="AQ88" i="53"/>
  <c r="AT88" i="53" s="1"/>
  <c r="I29" i="33"/>
  <c r="H28" i="33"/>
  <c r="D30" i="33"/>
  <c r="D31" i="33" s="1"/>
  <c r="AQ82" i="53"/>
  <c r="AT82" i="53" s="1"/>
  <c r="AQ78" i="53"/>
  <c r="AT78" i="53" s="1"/>
  <c r="AQ77" i="53"/>
  <c r="AT77" i="53" s="1"/>
  <c r="AS89" i="53"/>
  <c r="AQ83" i="53"/>
  <c r="AT83" i="53" s="1"/>
  <c r="AQ81" i="53"/>
  <c r="AT81" i="53" s="1"/>
  <c r="AQ85" i="53"/>
  <c r="AT85" i="53" s="1"/>
  <c r="AB89" i="50"/>
  <c r="AD89" i="50"/>
  <c r="AD105" i="50" s="1"/>
  <c r="AQ86" i="53"/>
  <c r="AT86" i="53" s="1"/>
  <c r="AB92" i="50"/>
  <c r="AS92" i="53"/>
  <c r="AQ80" i="53"/>
  <c r="AT80" i="53" s="1"/>
  <c r="AQ79" i="53"/>
  <c r="AT79" i="53" s="1"/>
  <c r="AD92" i="50"/>
  <c r="AQ87" i="50"/>
  <c r="AQ89" i="50" s="1"/>
  <c r="AT83" i="50"/>
  <c r="AT82" i="50"/>
  <c r="AP89" i="53"/>
  <c r="AP90" i="53"/>
  <c r="AQ90" i="53" s="1"/>
  <c r="AP92" i="53"/>
  <c r="AT84" i="50"/>
  <c r="AP92" i="50"/>
  <c r="AP89" i="50"/>
  <c r="AB89" i="53"/>
  <c r="AB92" i="53"/>
  <c r="AA89" i="53"/>
  <c r="AA92" i="53"/>
  <c r="AT86" i="50"/>
  <c r="AT88" i="50"/>
  <c r="AT85" i="50"/>
  <c r="AT81" i="50"/>
  <c r="AT79" i="50"/>
  <c r="AT78" i="50"/>
  <c r="AT77" i="50"/>
  <c r="AD89" i="53"/>
  <c r="AT80" i="50"/>
  <c r="AA90" i="53"/>
  <c r="AD90" i="53" s="1"/>
  <c r="AS92" i="50"/>
  <c r="AS89" i="50"/>
  <c r="AN92" i="50"/>
  <c r="AD92" i="53"/>
  <c r="V106" i="53"/>
  <c r="W106" i="53" s="1"/>
  <c r="N92" i="53"/>
  <c r="AB105" i="53"/>
  <c r="H20" i="22" s="1"/>
  <c r="AT88" i="1"/>
  <c r="N89" i="53"/>
  <c r="AT82" i="1"/>
  <c r="O90" i="53"/>
  <c r="AT85" i="1"/>
  <c r="AT86" i="1"/>
  <c r="AA106" i="53"/>
  <c r="G21" i="22" s="1"/>
  <c r="E21" i="22"/>
  <c r="AA107" i="53"/>
  <c r="G22" i="22" s="1"/>
  <c r="E22" i="22"/>
  <c r="AT78" i="1"/>
  <c r="AT79" i="1"/>
  <c r="N89" i="1"/>
  <c r="AN92" i="1"/>
  <c r="AT77" i="1"/>
  <c r="AD87" i="1"/>
  <c r="AD92" i="1" s="1"/>
  <c r="AB89" i="1"/>
  <c r="AT83" i="1"/>
  <c r="AT81" i="1"/>
  <c r="AT84" i="1"/>
  <c r="AP89" i="1"/>
  <c r="AP92" i="1"/>
  <c r="AA89" i="1"/>
  <c r="AQ87" i="1"/>
  <c r="AS89" i="1"/>
  <c r="AS92" i="1"/>
  <c r="AD89" i="51" l="1"/>
  <c r="AD105" i="51" s="1"/>
  <c r="AQ89" i="51"/>
  <c r="F21" i="52" s="1"/>
  <c r="F22" i="52" s="1"/>
  <c r="AQ90" i="51"/>
  <c r="AU90" i="51" s="1"/>
  <c r="AT80" i="51"/>
  <c r="AT89" i="51" s="1"/>
  <c r="AQ92" i="51"/>
  <c r="AR92" i="51"/>
  <c r="AR89" i="51"/>
  <c r="G21" i="52" s="1"/>
  <c r="G22" i="52" s="1"/>
  <c r="G30" i="60"/>
  <c r="H30" i="60" s="1"/>
  <c r="E30" i="33"/>
  <c r="E31" i="33" s="1"/>
  <c r="G24" i="60"/>
  <c r="H24" i="60" s="1"/>
  <c r="G22" i="60"/>
  <c r="H22" i="60" s="1"/>
  <c r="G23" i="60"/>
  <c r="H23" i="60" s="1"/>
  <c r="G9" i="60"/>
  <c r="H9" i="60" s="1"/>
  <c r="G31" i="60"/>
  <c r="H31" i="60" s="1"/>
  <c r="G29" i="60"/>
  <c r="H29" i="60" s="1"/>
  <c r="G55" i="60"/>
  <c r="H55" i="60" s="1"/>
  <c r="G53" i="60"/>
  <c r="H53" i="60" s="1"/>
  <c r="J28" i="33"/>
  <c r="K28" i="33" s="1"/>
  <c r="L28" i="33" s="1"/>
  <c r="H29" i="33"/>
  <c r="F47" i="60"/>
  <c r="F45" i="60"/>
  <c r="F46" i="60"/>
  <c r="G29" i="33"/>
  <c r="F39" i="60"/>
  <c r="F37" i="60"/>
  <c r="F38" i="60"/>
  <c r="AC105" i="1"/>
  <c r="E17" i="60"/>
  <c r="E16" i="60"/>
  <c r="E15" i="60"/>
  <c r="AR89" i="50"/>
  <c r="AQ92" i="50"/>
  <c r="AT87" i="50"/>
  <c r="AT89" i="50" s="1"/>
  <c r="AE105" i="50" s="1"/>
  <c r="AQ89" i="53"/>
  <c r="AQ92" i="53"/>
  <c r="AT89" i="53"/>
  <c r="AT92" i="53"/>
  <c r="AR90" i="53"/>
  <c r="AT90" i="53" s="1"/>
  <c r="Z109" i="53" s="1"/>
  <c r="AR92" i="53"/>
  <c r="AR89" i="53"/>
  <c r="D21" i="22"/>
  <c r="V107" i="53"/>
  <c r="W107" i="53" s="1"/>
  <c r="F22" i="22" s="1"/>
  <c r="AE90" i="53"/>
  <c r="V108" i="53" s="1"/>
  <c r="W108" i="53" s="1"/>
  <c r="Z108" i="53"/>
  <c r="F21" i="22"/>
  <c r="AB106" i="53"/>
  <c r="H21" i="22" s="1"/>
  <c r="I30" i="33"/>
  <c r="I31" i="33" s="1"/>
  <c r="F30" i="33"/>
  <c r="F31" i="33" s="1"/>
  <c r="AD89" i="1"/>
  <c r="AQ92" i="1"/>
  <c r="AQ89" i="1"/>
  <c r="AR89" i="1"/>
  <c r="AT87" i="1"/>
  <c r="AT92" i="1" s="1"/>
  <c r="I21" i="52" l="1"/>
  <c r="AE105" i="51"/>
  <c r="Z96" i="51"/>
  <c r="AT90" i="51"/>
  <c r="AT92" i="51"/>
  <c r="G38" i="60"/>
  <c r="H38" i="60" s="1"/>
  <c r="G46" i="60"/>
  <c r="H46" i="60" s="1"/>
  <c r="Z96" i="53"/>
  <c r="J29" i="33"/>
  <c r="K29" i="33" s="1"/>
  <c r="L29" i="33" s="1"/>
  <c r="AD105" i="1"/>
  <c r="F17" i="60"/>
  <c r="F16" i="60"/>
  <c r="F15" i="60"/>
  <c r="G39" i="60"/>
  <c r="H39" i="60" s="1"/>
  <c r="G37" i="60"/>
  <c r="H37" i="60" s="1"/>
  <c r="H30" i="33"/>
  <c r="G47" i="60"/>
  <c r="H47" i="60" s="1"/>
  <c r="G45" i="60"/>
  <c r="H45" i="60" s="1"/>
  <c r="AT92" i="50"/>
  <c r="AB107" i="53"/>
  <c r="H22" i="22" s="1"/>
  <c r="D22" i="22"/>
  <c r="AU90" i="53"/>
  <c r="V109" i="53" s="1"/>
  <c r="W109" i="53" s="1"/>
  <c r="W110" i="53" s="1"/>
  <c r="D23" i="22"/>
  <c r="E24" i="22"/>
  <c r="AA109" i="53"/>
  <c r="G24" i="22" s="1"/>
  <c r="E23" i="22"/>
  <c r="AA108" i="53"/>
  <c r="G30" i="33"/>
  <c r="G31" i="33" s="1"/>
  <c r="AT89" i="1"/>
  <c r="G16" i="60" s="1"/>
  <c r="Z96" i="50"/>
  <c r="F23" i="22"/>
  <c r="K21" i="52" l="1"/>
  <c r="K22" i="52" s="1"/>
  <c r="I22" i="52"/>
  <c r="H16" i="60"/>
  <c r="G17" i="60"/>
  <c r="H17" i="60" s="1"/>
  <c r="G15" i="60"/>
  <c r="H15" i="60" s="1"/>
  <c r="D24" i="22"/>
  <c r="F24" i="22"/>
  <c r="F25" i="22" s="1"/>
  <c r="AB109" i="53"/>
  <c r="H24" i="22" s="1"/>
  <c r="J30" i="33"/>
  <c r="AA110" i="53"/>
  <c r="AB110" i="53" s="1"/>
  <c r="G23" i="22"/>
  <c r="G25" i="22" s="1"/>
  <c r="AB108" i="53"/>
  <c r="H23" i="22" s="1"/>
  <c r="H31" i="33"/>
  <c r="AE105" i="1"/>
  <c r="Z96" i="1"/>
  <c r="I23" i="22" l="1"/>
  <c r="J23" i="22" s="1"/>
  <c r="I24" i="22"/>
  <c r="J24" i="22" s="1"/>
  <c r="K30" i="33"/>
  <c r="L30" i="33" s="1"/>
  <c r="L31" i="33" s="1"/>
  <c r="J31" i="33"/>
  <c r="H25" i="22"/>
  <c r="H11" i="26"/>
  <c r="A11" i="26" s="1"/>
  <c r="G11" i="24"/>
  <c r="B25" i="26" l="1"/>
  <c r="B39" i="24"/>
  <c r="C43" i="24" s="1"/>
  <c r="G20" i="24"/>
  <c r="I20" i="24"/>
  <c r="B27" i="26"/>
  <c r="G14" i="24"/>
  <c r="G18" i="24"/>
  <c r="R84" i="24"/>
  <c r="S84" i="24" s="1"/>
  <c r="T84" i="24" s="1"/>
  <c r="U84" i="24" s="1"/>
  <c r="V84" i="24" s="1"/>
  <c r="W84" i="24" s="1"/>
  <c r="K11" i="24"/>
  <c r="I18" i="24"/>
  <c r="B26" i="26"/>
  <c r="B19" i="35"/>
  <c r="B20" i="35" s="1"/>
  <c r="B21" i="35" s="1"/>
  <c r="B22" i="35" s="1"/>
  <c r="B23" i="35" s="1"/>
  <c r="B24" i="35" s="1"/>
  <c r="A12" i="26"/>
  <c r="C46" i="24" l="1"/>
  <c r="C40" i="24"/>
  <c r="C45" i="24"/>
  <c r="C51" i="24"/>
  <c r="C41" i="24"/>
  <c r="C48" i="24"/>
  <c r="C47" i="24"/>
  <c r="C49" i="24"/>
  <c r="K14" i="24"/>
  <c r="L14" i="24" s="1"/>
  <c r="P14" i="24" s="1"/>
  <c r="Q14" i="24" s="1"/>
  <c r="P15" i="24" s="1"/>
  <c r="P20" i="24"/>
  <c r="K20" i="24"/>
  <c r="C50" i="24"/>
  <c r="C44" i="24"/>
  <c r="K39" i="24"/>
  <c r="M46" i="24" s="1"/>
  <c r="C42" i="24"/>
  <c r="H14" i="24"/>
  <c r="P18" i="24"/>
  <c r="R11" i="24"/>
  <c r="K18" i="24"/>
  <c r="D49" i="24" l="1"/>
  <c r="K15" i="24"/>
  <c r="P38" i="24" s="1"/>
  <c r="C20" i="35" s="1"/>
  <c r="L15" i="24"/>
  <c r="N46" i="24"/>
  <c r="M47" i="24"/>
  <c r="N47" i="24" s="1"/>
  <c r="O47" i="24" s="1"/>
  <c r="M50" i="24"/>
  <c r="N50" i="24" s="1"/>
  <c r="O50" i="24" s="1"/>
  <c r="M40" i="24"/>
  <c r="O40" i="24" s="1"/>
  <c r="M48" i="24"/>
  <c r="N48" i="24" s="1"/>
  <c r="M42" i="24"/>
  <c r="N42" i="24" s="1"/>
  <c r="M41" i="24"/>
  <c r="N41" i="24" s="1"/>
  <c r="M45" i="24"/>
  <c r="N45" i="24" s="1"/>
  <c r="M49" i="24"/>
  <c r="N49" i="24" s="1"/>
  <c r="O49" i="24" s="1"/>
  <c r="M43" i="24"/>
  <c r="N43" i="24" s="1"/>
  <c r="M44" i="24"/>
  <c r="N44" i="24" s="1"/>
  <c r="O44" i="24" s="1"/>
  <c r="M51" i="24"/>
  <c r="N51" i="24" s="1"/>
  <c r="O51" i="24" s="1"/>
  <c r="V39" i="24"/>
  <c r="X49" i="24" s="1"/>
  <c r="H15" i="24"/>
  <c r="T20" i="24"/>
  <c r="R20" i="24"/>
  <c r="D41" i="24"/>
  <c r="I14" i="24"/>
  <c r="E40" i="24" s="1"/>
  <c r="D50" i="24"/>
  <c r="D43" i="24"/>
  <c r="O41" i="24"/>
  <c r="D51" i="24"/>
  <c r="D47" i="24"/>
  <c r="D42" i="24"/>
  <c r="D46" i="24"/>
  <c r="D40" i="24"/>
  <c r="G15" i="24"/>
  <c r="D45" i="24"/>
  <c r="D44" i="24"/>
  <c r="D48" i="24"/>
  <c r="R14" i="24"/>
  <c r="O46" i="24"/>
  <c r="O45" i="24"/>
  <c r="Q15" i="24"/>
  <c r="T18" i="24"/>
  <c r="R18" i="24"/>
  <c r="G22" i="24"/>
  <c r="O43" i="24" l="1"/>
  <c r="N40" i="24"/>
  <c r="O48" i="24"/>
  <c r="X45" i="24"/>
  <c r="X43" i="24"/>
  <c r="X44" i="24"/>
  <c r="O42" i="24"/>
  <c r="X51" i="24"/>
  <c r="X47" i="24"/>
  <c r="X42" i="24"/>
  <c r="J14" i="24"/>
  <c r="J15" i="24" s="1"/>
  <c r="B57" i="24"/>
  <c r="C64" i="24" s="1"/>
  <c r="X46" i="24"/>
  <c r="X50" i="24"/>
  <c r="X48" i="24"/>
  <c r="X40" i="24"/>
  <c r="X41" i="24"/>
  <c r="G25" i="24"/>
  <c r="I31" i="24"/>
  <c r="G31" i="24"/>
  <c r="S14" i="24"/>
  <c r="K22" i="24"/>
  <c r="I29" i="24"/>
  <c r="G29" i="24"/>
  <c r="Y46" i="24" l="1"/>
  <c r="Y42" i="24"/>
  <c r="R15" i="24"/>
  <c r="E42" i="24"/>
  <c r="I15" i="24"/>
  <c r="F38" i="24" s="1"/>
  <c r="C19" i="35" s="1"/>
  <c r="C59" i="24"/>
  <c r="C63" i="24"/>
  <c r="C66" i="24"/>
  <c r="C68" i="24"/>
  <c r="C62" i="24"/>
  <c r="C61" i="24"/>
  <c r="C65" i="24"/>
  <c r="K57" i="24"/>
  <c r="M67" i="24" s="1"/>
  <c r="C60" i="24"/>
  <c r="C67" i="24"/>
  <c r="Y51" i="24"/>
  <c r="C58" i="24"/>
  <c r="C69" i="24"/>
  <c r="E46" i="24"/>
  <c r="E49" i="24"/>
  <c r="E50" i="24"/>
  <c r="E48" i="24"/>
  <c r="E41" i="24"/>
  <c r="E43" i="24"/>
  <c r="E45" i="24"/>
  <c r="E44" i="24"/>
  <c r="E47" i="24"/>
  <c r="E51" i="24"/>
  <c r="G30" i="24"/>
  <c r="G27" i="24" s="1"/>
  <c r="H25" i="24"/>
  <c r="H26" i="24" s="1"/>
  <c r="K25" i="24"/>
  <c r="K31" i="24"/>
  <c r="P31" i="24"/>
  <c r="Y49" i="24"/>
  <c r="Y40" i="24"/>
  <c r="T14" i="24"/>
  <c r="Y48" i="24"/>
  <c r="Y43" i="24"/>
  <c r="Y44" i="24"/>
  <c r="Y45" i="24"/>
  <c r="S15" i="24"/>
  <c r="Y41" i="24"/>
  <c r="Y50" i="24"/>
  <c r="Y47" i="24"/>
  <c r="M61" i="24"/>
  <c r="M64" i="24"/>
  <c r="R22" i="24"/>
  <c r="K29" i="24"/>
  <c r="P29" i="24"/>
  <c r="G26" i="24" l="1"/>
  <c r="D65" i="24"/>
  <c r="D59" i="24"/>
  <c r="D60" i="24"/>
  <c r="D69" i="24"/>
  <c r="D66" i="24"/>
  <c r="D58" i="24"/>
  <c r="D62" i="24"/>
  <c r="M68" i="24"/>
  <c r="M69" i="24"/>
  <c r="V57" i="24"/>
  <c r="X59" i="24" s="1"/>
  <c r="M65" i="24"/>
  <c r="M63" i="24"/>
  <c r="M59" i="24"/>
  <c r="M58" i="24"/>
  <c r="M66" i="24"/>
  <c r="M60" i="24"/>
  <c r="M62" i="24"/>
  <c r="D63" i="24"/>
  <c r="D64" i="24"/>
  <c r="I25" i="24"/>
  <c r="E58" i="24" s="1"/>
  <c r="D68" i="24"/>
  <c r="D61" i="24"/>
  <c r="D67" i="24"/>
  <c r="L25" i="24"/>
  <c r="N67" i="24" s="1"/>
  <c r="R25" i="24"/>
  <c r="R31" i="24"/>
  <c r="T31" i="24"/>
  <c r="K30" i="24"/>
  <c r="K27" i="24" s="1"/>
  <c r="Z41" i="24"/>
  <c r="Z42" i="24"/>
  <c r="Z40" i="24"/>
  <c r="U14" i="24"/>
  <c r="Z49" i="24" s="1"/>
  <c r="T29" i="24"/>
  <c r="R29" i="24"/>
  <c r="N65" i="24" l="1"/>
  <c r="X65" i="24"/>
  <c r="N66" i="24"/>
  <c r="N64" i="24"/>
  <c r="X60" i="24"/>
  <c r="N58" i="24"/>
  <c r="J25" i="24"/>
  <c r="J26" i="24" s="1"/>
  <c r="X68" i="24"/>
  <c r="X58" i="24"/>
  <c r="X67" i="24"/>
  <c r="X61" i="24"/>
  <c r="X69" i="24"/>
  <c r="X66" i="24"/>
  <c r="X63" i="24"/>
  <c r="X62" i="24"/>
  <c r="X64" i="24"/>
  <c r="I30" i="24"/>
  <c r="D22" i="35" s="1"/>
  <c r="E59" i="24"/>
  <c r="N60" i="24"/>
  <c r="U15" i="24"/>
  <c r="N62" i="24"/>
  <c r="N59" i="24"/>
  <c r="N69" i="24"/>
  <c r="N63" i="24"/>
  <c r="N61" i="24"/>
  <c r="N68" i="24"/>
  <c r="K26" i="24"/>
  <c r="E60" i="24"/>
  <c r="S25" i="24"/>
  <c r="S26" i="24" s="1"/>
  <c r="R30" i="24"/>
  <c r="R27" i="24" s="1"/>
  <c r="L26" i="24"/>
  <c r="P25" i="24"/>
  <c r="Z43" i="24"/>
  <c r="Z44" i="24"/>
  <c r="Z46" i="24"/>
  <c r="Z50" i="24"/>
  <c r="Z51" i="24"/>
  <c r="Z45" i="24"/>
  <c r="Z48" i="24"/>
  <c r="Z47" i="24"/>
  <c r="T15" i="24"/>
  <c r="AA38" i="24" s="1"/>
  <c r="C21" i="35" s="1"/>
  <c r="E69" i="24" l="1"/>
  <c r="E64" i="24"/>
  <c r="I26" i="24"/>
  <c r="F56" i="24" s="1"/>
  <c r="C22" i="35" s="1"/>
  <c r="E65" i="24"/>
  <c r="E61" i="24"/>
  <c r="E63" i="24"/>
  <c r="E67" i="24"/>
  <c r="E62" i="24"/>
  <c r="E66" i="24"/>
  <c r="I27" i="24"/>
  <c r="F58" i="24" s="1"/>
  <c r="G58" i="24" s="1"/>
  <c r="E68" i="24"/>
  <c r="Y64" i="24"/>
  <c r="R26" i="24"/>
  <c r="Y58" i="24"/>
  <c r="Y60" i="24"/>
  <c r="Y68" i="24"/>
  <c r="Y67" i="24"/>
  <c r="Y61" i="24"/>
  <c r="Y59" i="24"/>
  <c r="Y62" i="24"/>
  <c r="Y63" i="24"/>
  <c r="Y66" i="24"/>
  <c r="Y69" i="24"/>
  <c r="Y65" i="24"/>
  <c r="T25" i="24"/>
  <c r="Z59" i="24" s="1"/>
  <c r="O59" i="24"/>
  <c r="O60" i="24"/>
  <c r="Q25" i="24"/>
  <c r="O65" i="24" s="1"/>
  <c r="P30" i="24"/>
  <c r="D23" i="35" s="1"/>
  <c r="O58" i="24"/>
  <c r="H58" i="24" l="1"/>
  <c r="F65" i="24"/>
  <c r="G65" i="24" s="1"/>
  <c r="F68" i="24"/>
  <c r="G68" i="24" s="1"/>
  <c r="F60" i="24"/>
  <c r="G60" i="24" s="1"/>
  <c r="F67" i="24"/>
  <c r="G67" i="24" s="1"/>
  <c r="F66" i="24"/>
  <c r="G66" i="24" s="1"/>
  <c r="F69" i="24"/>
  <c r="G69" i="24" s="1"/>
  <c r="F63" i="24"/>
  <c r="G63" i="24" s="1"/>
  <c r="F61" i="24"/>
  <c r="G61" i="24" s="1"/>
  <c r="F62" i="24"/>
  <c r="G62" i="24" s="1"/>
  <c r="F64" i="24"/>
  <c r="G64" i="24" s="1"/>
  <c r="F59" i="24"/>
  <c r="G59" i="24" s="1"/>
  <c r="O67" i="24"/>
  <c r="O68" i="24"/>
  <c r="P26" i="24"/>
  <c r="P56" i="24" s="1"/>
  <c r="C23" i="35" s="1"/>
  <c r="Q26" i="24"/>
  <c r="O61" i="24" s="1"/>
  <c r="O69" i="24"/>
  <c r="Z58" i="24"/>
  <c r="T30" i="24"/>
  <c r="D24" i="35" s="1"/>
  <c r="U25" i="24"/>
  <c r="Z67" i="24" s="1"/>
  <c r="Z60" i="24"/>
  <c r="O66" i="24"/>
  <c r="O63" i="24"/>
  <c r="P27" i="24"/>
  <c r="O64" i="24"/>
  <c r="O62" i="24"/>
  <c r="I58" i="24" l="1"/>
  <c r="H67" i="24"/>
  <c r="H59" i="24"/>
  <c r="H68" i="24"/>
  <c r="H62" i="24"/>
  <c r="H65" i="24"/>
  <c r="H69" i="24"/>
  <c r="Z68" i="24"/>
  <c r="Z65" i="24"/>
  <c r="Z64" i="24"/>
  <c r="Z63" i="24"/>
  <c r="Z61" i="24"/>
  <c r="H60" i="24"/>
  <c r="I60" i="24" s="1"/>
  <c r="H66" i="24"/>
  <c r="I66" i="24" s="1"/>
  <c r="H63" i="24"/>
  <c r="I63" i="24" s="1"/>
  <c r="H61" i="24"/>
  <c r="F70" i="24"/>
  <c r="E22" i="35" s="1"/>
  <c r="H64" i="24"/>
  <c r="I64" i="24" s="1"/>
  <c r="F71" i="24"/>
  <c r="T27" i="24"/>
  <c r="AA67" i="24" s="1"/>
  <c r="AC67" i="24" s="1"/>
  <c r="Z66" i="24"/>
  <c r="U26" i="24"/>
  <c r="P61" i="24"/>
  <c r="R61" i="24" s="1"/>
  <c r="Z62" i="24"/>
  <c r="Z69" i="24"/>
  <c r="T26" i="24"/>
  <c r="AA56" i="24" s="1"/>
  <c r="C24" i="35" s="1"/>
  <c r="C25" i="35" s="1"/>
  <c r="P64" i="24"/>
  <c r="R64" i="24" s="1"/>
  <c r="P62" i="24"/>
  <c r="R62" i="24" s="1"/>
  <c r="P60" i="24"/>
  <c r="R60" i="24" s="1"/>
  <c r="P65" i="24"/>
  <c r="R65" i="24" s="1"/>
  <c r="P63" i="24"/>
  <c r="R63" i="24" s="1"/>
  <c r="P58" i="24"/>
  <c r="R58" i="24" s="1"/>
  <c r="P69" i="24"/>
  <c r="R69" i="24" s="1"/>
  <c r="P67" i="24"/>
  <c r="R67" i="24" s="1"/>
  <c r="P68" i="24"/>
  <c r="R68" i="24" s="1"/>
  <c r="P66" i="24"/>
  <c r="R66" i="24" s="1"/>
  <c r="P59" i="24"/>
  <c r="R59" i="24" s="1"/>
  <c r="I65" i="24" l="1"/>
  <c r="I67" i="24"/>
  <c r="I68" i="24"/>
  <c r="I62" i="24"/>
  <c r="I69" i="24"/>
  <c r="I59" i="24"/>
  <c r="S60" i="24"/>
  <c r="S69" i="24"/>
  <c r="S59" i="24"/>
  <c r="S66" i="24"/>
  <c r="S58" i="24"/>
  <c r="AD67" i="24"/>
  <c r="S67" i="24"/>
  <c r="S65" i="24"/>
  <c r="S61" i="24"/>
  <c r="T61" i="24" s="1"/>
  <c r="H70" i="24"/>
  <c r="G22" i="35" s="1"/>
  <c r="H71" i="24"/>
  <c r="I61" i="24"/>
  <c r="G70" i="24"/>
  <c r="F22" i="35" s="1"/>
  <c r="AA69" i="24"/>
  <c r="AC69" i="24" s="1"/>
  <c r="G71" i="24"/>
  <c r="AA68" i="24"/>
  <c r="AC68" i="24" s="1"/>
  <c r="AA66" i="24"/>
  <c r="AC66" i="24" s="1"/>
  <c r="AA63" i="24"/>
  <c r="AC63" i="24" s="1"/>
  <c r="AA64" i="24"/>
  <c r="AC64" i="24" s="1"/>
  <c r="AA62" i="24"/>
  <c r="AC62" i="24" s="1"/>
  <c r="AA58" i="24"/>
  <c r="AC58" i="24" s="1"/>
  <c r="AA60" i="24"/>
  <c r="AC60" i="24" s="1"/>
  <c r="AA59" i="24"/>
  <c r="AC59" i="24" s="1"/>
  <c r="AA61" i="24"/>
  <c r="AC61" i="24" s="1"/>
  <c r="AA65" i="24"/>
  <c r="AC65" i="24" s="1"/>
  <c r="S62" i="24"/>
  <c r="T62" i="24" s="1"/>
  <c r="F34" i="24"/>
  <c r="S64" i="24"/>
  <c r="T64" i="24" s="1"/>
  <c r="S63" i="24"/>
  <c r="T63" i="24" s="1"/>
  <c r="P70" i="24"/>
  <c r="E23" i="35" s="1"/>
  <c r="P71" i="24"/>
  <c r="S68" i="24"/>
  <c r="T68" i="24" s="1"/>
  <c r="T58" i="24" l="1"/>
  <c r="T60" i="24"/>
  <c r="AE67" i="24"/>
  <c r="T65" i="24"/>
  <c r="T66" i="24"/>
  <c r="T67" i="24"/>
  <c r="T59" i="24"/>
  <c r="I70" i="24"/>
  <c r="U85" i="24" s="1"/>
  <c r="T69" i="24"/>
  <c r="AD59" i="24"/>
  <c r="AD60" i="24"/>
  <c r="AD69" i="24"/>
  <c r="AD66" i="24"/>
  <c r="AD61" i="24"/>
  <c r="AD68" i="24"/>
  <c r="AD62" i="24"/>
  <c r="AE62" i="24" s="1"/>
  <c r="H22" i="35"/>
  <c r="AD65" i="24"/>
  <c r="AE65" i="24" s="1"/>
  <c r="AD58" i="24"/>
  <c r="AE58" i="24" s="1"/>
  <c r="I71" i="24"/>
  <c r="AD63" i="24"/>
  <c r="AE63" i="24" s="1"/>
  <c r="AD64" i="24"/>
  <c r="AA71" i="24"/>
  <c r="AA70" i="24"/>
  <c r="E24" i="35" s="1"/>
  <c r="S71" i="24"/>
  <c r="R70" i="24"/>
  <c r="F23" i="35" s="1"/>
  <c r="R71" i="24"/>
  <c r="S70" i="24"/>
  <c r="G23" i="35" s="1"/>
  <c r="K19" i="24"/>
  <c r="R19" i="24"/>
  <c r="R16" i="24" s="1"/>
  <c r="G19" i="24"/>
  <c r="G16" i="24" s="1"/>
  <c r="P19" i="24"/>
  <c r="P16" i="24" s="1"/>
  <c r="T19" i="24"/>
  <c r="T16" i="24" s="1"/>
  <c r="T71" i="24" l="1"/>
  <c r="AE69" i="24"/>
  <c r="AE61" i="24"/>
  <c r="AE59" i="24"/>
  <c r="T70" i="24"/>
  <c r="V85" i="24" s="1"/>
  <c r="E10" i="60"/>
  <c r="AE66" i="24"/>
  <c r="AE60" i="24"/>
  <c r="AE68" i="24"/>
  <c r="AD71" i="24"/>
  <c r="AE64" i="24"/>
  <c r="AD70" i="24"/>
  <c r="G24" i="35" s="1"/>
  <c r="AC70" i="24"/>
  <c r="F24" i="35" s="1"/>
  <c r="AC71" i="24"/>
  <c r="H23" i="35"/>
  <c r="D21" i="35"/>
  <c r="AA41" i="24"/>
  <c r="AC41" i="24" s="1"/>
  <c r="AA47" i="24"/>
  <c r="AC47" i="24" s="1"/>
  <c r="AA46" i="24"/>
  <c r="AC46" i="24" s="1"/>
  <c r="AA44" i="24"/>
  <c r="AC44" i="24" s="1"/>
  <c r="AA49" i="24"/>
  <c r="AC49" i="24" s="1"/>
  <c r="AA40" i="24"/>
  <c r="AC40" i="24" s="1"/>
  <c r="AA45" i="24"/>
  <c r="AC45" i="24" s="1"/>
  <c r="AA42" i="24"/>
  <c r="AC42" i="24" s="1"/>
  <c r="AA43" i="24"/>
  <c r="AC43" i="24" s="1"/>
  <c r="AA48" i="24"/>
  <c r="AC48" i="24" s="1"/>
  <c r="AA50" i="24"/>
  <c r="AC50" i="24" s="1"/>
  <c r="AA51" i="24"/>
  <c r="AC51" i="24" s="1"/>
  <c r="D20" i="35"/>
  <c r="K16" i="24"/>
  <c r="I19" i="24"/>
  <c r="I16" i="24" s="1"/>
  <c r="F49" i="24" s="1"/>
  <c r="G49" i="24" s="1"/>
  <c r="F10" i="60" l="1"/>
  <c r="AE71" i="24"/>
  <c r="F42" i="24"/>
  <c r="G42" i="24" s="1"/>
  <c r="H24" i="35"/>
  <c r="AE70" i="24"/>
  <c r="W85" i="24" s="1"/>
  <c r="D19" i="35"/>
  <c r="F35" i="24"/>
  <c r="F41" i="24"/>
  <c r="G41" i="24" s="1"/>
  <c r="F45" i="24"/>
  <c r="G45" i="24" s="1"/>
  <c r="F50" i="24"/>
  <c r="G50" i="24" s="1"/>
  <c r="H49" i="24"/>
  <c r="AD45" i="24"/>
  <c r="AD42" i="24"/>
  <c r="AD44" i="24"/>
  <c r="AD46" i="24"/>
  <c r="F47" i="24"/>
  <c r="G47" i="24" s="1"/>
  <c r="F40" i="24"/>
  <c r="G40" i="24" s="1"/>
  <c r="AD47" i="24"/>
  <c r="AD40" i="24"/>
  <c r="AA53" i="24"/>
  <c r="AA52" i="24"/>
  <c r="E21" i="35" s="1"/>
  <c r="F43" i="24"/>
  <c r="G43" i="24" s="1"/>
  <c r="AD49" i="24"/>
  <c r="AD51" i="24"/>
  <c r="F46" i="24"/>
  <c r="G46" i="24" s="1"/>
  <c r="AD50" i="24"/>
  <c r="F51" i="24"/>
  <c r="G51" i="24" s="1"/>
  <c r="F44" i="24"/>
  <c r="G44" i="24" s="1"/>
  <c r="AD48" i="24"/>
  <c r="F48" i="24"/>
  <c r="G48" i="24" s="1"/>
  <c r="P42" i="24"/>
  <c r="R42" i="24" s="1"/>
  <c r="P49" i="24"/>
  <c r="R49" i="24" s="1"/>
  <c r="P45" i="24"/>
  <c r="R45" i="24" s="1"/>
  <c r="P51" i="24"/>
  <c r="R51" i="24" s="1"/>
  <c r="P44" i="24"/>
  <c r="R44" i="24" s="1"/>
  <c r="P41" i="24"/>
  <c r="R41" i="24" s="1"/>
  <c r="P48" i="24"/>
  <c r="R48" i="24" s="1"/>
  <c r="P47" i="24"/>
  <c r="R47" i="24" s="1"/>
  <c r="P50" i="24"/>
  <c r="R50" i="24" s="1"/>
  <c r="P40" i="24"/>
  <c r="R40" i="24" s="1"/>
  <c r="P46" i="24"/>
  <c r="R46" i="24" s="1"/>
  <c r="P43" i="24"/>
  <c r="R43" i="24" s="1"/>
  <c r="AD43" i="24"/>
  <c r="AD41" i="24"/>
  <c r="H45" i="24" l="1"/>
  <c r="G52" i="24"/>
  <c r="G10" i="60"/>
  <c r="H41" i="24"/>
  <c r="I41" i="24" s="1"/>
  <c r="H50" i="24"/>
  <c r="I50" i="24" s="1"/>
  <c r="AE45" i="24"/>
  <c r="AE41" i="24"/>
  <c r="H42" i="24"/>
  <c r="I42" i="24" s="1"/>
  <c r="I49" i="24"/>
  <c r="AE44" i="24"/>
  <c r="AE48" i="24"/>
  <c r="AE50" i="24"/>
  <c r="AE46" i="24"/>
  <c r="AE42" i="24"/>
  <c r="AE49" i="24"/>
  <c r="AE43" i="24"/>
  <c r="AE51" i="24"/>
  <c r="AE47" i="24"/>
  <c r="S50" i="24"/>
  <c r="S42" i="24"/>
  <c r="S49" i="24"/>
  <c r="P52" i="24"/>
  <c r="E20" i="35" s="1"/>
  <c r="S40" i="24"/>
  <c r="P53" i="24"/>
  <c r="H48" i="24"/>
  <c r="F53" i="24"/>
  <c r="H40" i="24"/>
  <c r="F52" i="24"/>
  <c r="E19" i="35" s="1"/>
  <c r="H47" i="24"/>
  <c r="S48" i="24"/>
  <c r="H46" i="24"/>
  <c r="AC53" i="24"/>
  <c r="AC52" i="24"/>
  <c r="F21" i="35" s="1"/>
  <c r="S47" i="24"/>
  <c r="S41" i="24"/>
  <c r="S44" i="24"/>
  <c r="S43" i="24"/>
  <c r="S51" i="24"/>
  <c r="H44" i="24"/>
  <c r="AE40" i="24"/>
  <c r="H43" i="24"/>
  <c r="S46" i="24"/>
  <c r="S45" i="24"/>
  <c r="H51" i="24"/>
  <c r="AD53" i="24"/>
  <c r="AD52" i="24"/>
  <c r="G21" i="35" s="1"/>
  <c r="I45" i="24" l="1"/>
  <c r="I51" i="24"/>
  <c r="I43" i="24"/>
  <c r="T50" i="24"/>
  <c r="T43" i="24"/>
  <c r="T44" i="24"/>
  <c r="T49" i="24"/>
  <c r="I46" i="24"/>
  <c r="T46" i="24"/>
  <c r="T47" i="24"/>
  <c r="I47" i="24"/>
  <c r="T51" i="24"/>
  <c r="T48" i="24"/>
  <c r="I48" i="24"/>
  <c r="I44" i="24"/>
  <c r="H21" i="35"/>
  <c r="T45" i="24"/>
  <c r="T41" i="24"/>
  <c r="T42" i="24"/>
  <c r="E25" i="35"/>
  <c r="G53" i="24"/>
  <c r="F19" i="35"/>
  <c r="R52" i="24"/>
  <c r="F20" i="35" s="1"/>
  <c r="R53" i="24"/>
  <c r="H53" i="24"/>
  <c r="H52" i="24"/>
  <c r="G19" i="35" s="1"/>
  <c r="AE52" i="24"/>
  <c r="AE53" i="24"/>
  <c r="I40" i="24"/>
  <c r="S52" i="24"/>
  <c r="G20" i="35" s="1"/>
  <c r="S53" i="24"/>
  <c r="T40" i="24"/>
  <c r="D10" i="60" l="1"/>
  <c r="T85" i="24"/>
  <c r="H20" i="35"/>
  <c r="F25" i="35"/>
  <c r="G25" i="35"/>
  <c r="T52" i="24"/>
  <c r="T53" i="24"/>
  <c r="H19" i="35"/>
  <c r="I53" i="24"/>
  <c r="I52" i="24"/>
  <c r="C10" i="60" l="1"/>
  <c r="I19" i="35"/>
  <c r="B10" i="60"/>
  <c r="S85" i="24"/>
  <c r="R85" i="24"/>
  <c r="R76" i="24"/>
  <c r="H25" i="35"/>
  <c r="B6" i="24"/>
  <c r="H10" i="60" l="1"/>
  <c r="I22" i="35"/>
  <c r="J22" i="35" s="1"/>
  <c r="I23" i="35"/>
  <c r="J23" i="35" s="1"/>
  <c r="I24" i="35"/>
  <c r="J24" i="35" s="1"/>
  <c r="I25" i="22"/>
  <c r="I21" i="22"/>
  <c r="J21" i="22" s="1"/>
  <c r="I20" i="22"/>
  <c r="J20" i="22" s="1"/>
  <c r="I22" i="22"/>
  <c r="J22" i="22" s="1"/>
  <c r="J19" i="22"/>
  <c r="J25" i="22" l="1"/>
  <c r="I20" i="35"/>
  <c r="J20" i="35" s="1"/>
  <c r="J19" i="35"/>
  <c r="I21" i="35"/>
  <c r="J21" i="35" s="1"/>
  <c r="I25" i="35"/>
  <c r="J25"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Ungruhe, Patrick</author>
  </authors>
  <commentList>
    <comment ref="V5" authorId="0" shapeId="0" xr:uid="{00000000-0006-0000-0000-000001000000}">
      <text>
        <r>
          <rPr>
            <b/>
            <sz val="11"/>
            <color indexed="81"/>
            <rFont val="TheSans UHH"/>
            <family val="2"/>
          </rPr>
          <t xml:space="preserve">HINWEIS Stufenwechsel: </t>
        </r>
        <r>
          <rPr>
            <b/>
            <sz val="9"/>
            <color indexed="81"/>
            <rFont val="TheSans UHH"/>
            <family val="2"/>
          </rPr>
          <t xml:space="preserve">
</t>
        </r>
        <r>
          <rPr>
            <sz val="9"/>
            <color indexed="81"/>
            <rFont val="TheSans UHH"/>
            <family val="2"/>
          </rPr>
          <t xml:space="preserve">Ein Stufenanstieg erfolgt </t>
        </r>
        <r>
          <rPr>
            <b/>
            <sz val="9"/>
            <color indexed="81"/>
            <rFont val="TheSans UHH"/>
            <family val="2"/>
          </rPr>
          <t xml:space="preserve">immer nach Beschäftigungsbeginn </t>
        </r>
        <r>
          <rPr>
            <sz val="9"/>
            <color indexed="81"/>
            <rFont val="TheSans UHH"/>
            <family val="2"/>
          </rPr>
          <t xml:space="preserve">zum </t>
        </r>
        <r>
          <rPr>
            <b/>
            <sz val="9"/>
            <color indexed="81"/>
            <rFont val="TheSans UHH"/>
            <family val="2"/>
          </rPr>
          <t xml:space="preserve">01.XX.20XX! </t>
        </r>
        <r>
          <rPr>
            <sz val="9"/>
            <color indexed="81"/>
            <rFont val="TheSans UHH"/>
            <family val="2"/>
          </rPr>
          <t xml:space="preserve">Hier muss immer ein Eintrag erfolgen, auch wenn der Stufenaufstieg erst nach dem Beschäftigungsende erfolgt. </t>
        </r>
        <r>
          <rPr>
            <b/>
            <sz val="9"/>
            <color indexed="81"/>
            <rFont val="TheSans UHH"/>
            <family val="2"/>
          </rPr>
          <t xml:space="preserve">Ggf. 01.01.2099 eintragen
</t>
        </r>
      </text>
    </comment>
    <comment ref="W5" authorId="0" shapeId="0" xr:uid="{00000000-0006-0000-0000-000002000000}">
      <text>
        <r>
          <rPr>
            <b/>
            <sz val="11"/>
            <color indexed="81"/>
            <rFont val="TheSans UHH"/>
            <family val="2"/>
          </rPr>
          <t>HINWEIS Finanzierungsanteil:</t>
        </r>
        <r>
          <rPr>
            <sz val="9"/>
            <color indexed="81"/>
            <rFont val="TheSans UHH"/>
            <family val="2"/>
          </rPr>
          <t xml:space="preserve">
</t>
        </r>
        <r>
          <rPr>
            <b/>
            <sz val="9"/>
            <color indexed="81"/>
            <rFont val="TheSans UHH"/>
            <family val="2"/>
          </rPr>
          <t>Nur für LUK!</t>
        </r>
        <r>
          <rPr>
            <sz val="9"/>
            <color indexed="81"/>
            <rFont val="TheSans UHH"/>
            <family val="2"/>
          </rPr>
          <t xml:space="preserve"> bei mehreren Finanzierungsquellen bitte den Finanzierungsanteil eingeben (für die </t>
        </r>
        <r>
          <rPr>
            <b/>
            <sz val="9"/>
            <color indexed="81"/>
            <rFont val="TheSans UHH"/>
            <family val="2"/>
          </rPr>
          <t>anteilige LUK Berechnung</t>
        </r>
        <r>
          <rPr>
            <sz val="9"/>
            <color indexed="81"/>
            <rFont val="TheSans UHH"/>
            <family val="2"/>
          </rPr>
          <t xml:space="preserve">) </t>
        </r>
        <r>
          <rPr>
            <sz val="9"/>
            <color indexed="81"/>
            <rFont val="Segoe UI"/>
            <family val="2"/>
          </rPr>
          <t xml:space="preserve">
</t>
        </r>
      </text>
    </comment>
    <comment ref="X5" authorId="0" shapeId="0" xr:uid="{00000000-0006-0000-0000-000003000000}">
      <text>
        <r>
          <rPr>
            <b/>
            <sz val="9"/>
            <color indexed="81"/>
            <rFont val="Segoe UI"/>
            <family val="2"/>
          </rPr>
          <t>ERKLÄRUNG:</t>
        </r>
        <r>
          <rPr>
            <sz val="9"/>
            <color indexed="81"/>
            <rFont val="Segoe UI"/>
            <family val="2"/>
          </rPr>
          <t xml:space="preserve">
für kalkulatorische Erhöhung
</t>
        </r>
      </text>
    </comment>
    <comment ref="X6" authorId="0" shapeId="0" xr:uid="{00000000-0006-0000-0000-000004000000}">
      <text>
        <r>
          <rPr>
            <b/>
            <sz val="9"/>
            <color indexed="81"/>
            <rFont val="Segoe UI"/>
            <family val="2"/>
          </rPr>
          <t>HINWEIS</t>
        </r>
        <r>
          <rPr>
            <sz val="9"/>
            <color indexed="81"/>
            <rFont val="Segoe UI"/>
            <family val="2"/>
          </rPr>
          <t xml:space="preserve">
für anteilige JSZ
</t>
        </r>
      </text>
    </comment>
    <comment ref="X8" authorId="0" shapeId="0" xr:uid="{00000000-0006-0000-0000-000005000000}">
      <text>
        <r>
          <rPr>
            <b/>
            <sz val="9"/>
            <color indexed="81"/>
            <rFont val="Segoe UI"/>
            <family val="2"/>
          </rPr>
          <t>HINWEIS</t>
        </r>
        <r>
          <rPr>
            <sz val="9"/>
            <color indexed="81"/>
            <rFont val="Segoe UI"/>
            <family val="2"/>
          </rPr>
          <t xml:space="preserve">
für unbefristet beschäftigte</t>
        </r>
      </text>
    </comment>
    <comment ref="X9" authorId="0" shapeId="0" xr:uid="{001194EE-C157-46B9-9D62-04F4B7389243}">
      <text>
        <r>
          <rPr>
            <b/>
            <sz val="9"/>
            <color indexed="81"/>
            <rFont val="Segoe UI"/>
            <family val="2"/>
          </rPr>
          <t>HINWEIS!</t>
        </r>
        <r>
          <rPr>
            <sz val="9"/>
            <color indexed="81"/>
            <rFont val="Segoe UI"/>
            <family val="2"/>
          </rPr>
          <t xml:space="preserve">
Kontollfeld für Sonderzahlung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Ungruhe, Patrick</author>
  </authors>
  <commentList>
    <comment ref="V5" authorId="0" shapeId="0" xr:uid="{8009E2F8-6416-4970-A8E3-B7644F3F612C}">
      <text>
        <r>
          <rPr>
            <b/>
            <sz val="11"/>
            <color indexed="81"/>
            <rFont val="TheSans UHH"/>
            <family val="2"/>
          </rPr>
          <t xml:space="preserve">HINWEIS Stufenwechsel: </t>
        </r>
        <r>
          <rPr>
            <b/>
            <sz val="9"/>
            <color indexed="81"/>
            <rFont val="TheSans UHH"/>
            <family val="2"/>
          </rPr>
          <t xml:space="preserve">
</t>
        </r>
        <r>
          <rPr>
            <sz val="9"/>
            <color indexed="81"/>
            <rFont val="TheSans UHH"/>
            <family val="2"/>
          </rPr>
          <t xml:space="preserve">Ein Stufenanstieg erfolgt </t>
        </r>
        <r>
          <rPr>
            <b/>
            <sz val="9"/>
            <color indexed="81"/>
            <rFont val="TheSans UHH"/>
            <family val="2"/>
          </rPr>
          <t xml:space="preserve">immer nach Beschäftigungsbeginn </t>
        </r>
        <r>
          <rPr>
            <sz val="9"/>
            <color indexed="81"/>
            <rFont val="TheSans UHH"/>
            <family val="2"/>
          </rPr>
          <t xml:space="preserve">zum </t>
        </r>
        <r>
          <rPr>
            <b/>
            <sz val="9"/>
            <color indexed="81"/>
            <rFont val="TheSans UHH"/>
            <family val="2"/>
          </rPr>
          <t xml:space="preserve">01.XX.20XX! </t>
        </r>
        <r>
          <rPr>
            <sz val="9"/>
            <color indexed="81"/>
            <rFont val="TheSans UHH"/>
            <family val="2"/>
          </rPr>
          <t xml:space="preserve">Hier muss immer ein Eintrag erfolgen, auch wenn der Stufenaufstieg erst nach dem Beschäftigungsende erfolgt. </t>
        </r>
        <r>
          <rPr>
            <b/>
            <sz val="9"/>
            <color indexed="81"/>
            <rFont val="TheSans UHH"/>
            <family val="2"/>
          </rPr>
          <t xml:space="preserve">Ggf. 01.01.2099 eintragen
</t>
        </r>
      </text>
    </comment>
    <comment ref="W5" authorId="0" shapeId="0" xr:uid="{14B214AD-EC75-40D8-B815-20B1709116DA}">
      <text>
        <r>
          <rPr>
            <b/>
            <sz val="11"/>
            <color indexed="81"/>
            <rFont val="TheSans UHH"/>
            <family val="2"/>
          </rPr>
          <t>HINWEIS Finanzierungsanteil:</t>
        </r>
        <r>
          <rPr>
            <sz val="9"/>
            <color indexed="81"/>
            <rFont val="TheSans UHH"/>
            <family val="2"/>
          </rPr>
          <t xml:space="preserve">
</t>
        </r>
        <r>
          <rPr>
            <b/>
            <sz val="9"/>
            <color indexed="81"/>
            <rFont val="TheSans UHH"/>
            <family val="2"/>
          </rPr>
          <t>Nur für LUK!</t>
        </r>
        <r>
          <rPr>
            <sz val="9"/>
            <color indexed="81"/>
            <rFont val="TheSans UHH"/>
            <family val="2"/>
          </rPr>
          <t xml:space="preserve"> bei mehreren Finanzierungsquellen bitte den Finanzierungsanteil eingeben (für die </t>
        </r>
        <r>
          <rPr>
            <b/>
            <sz val="9"/>
            <color indexed="81"/>
            <rFont val="TheSans UHH"/>
            <family val="2"/>
          </rPr>
          <t>anteilige LUK Berechnung</t>
        </r>
        <r>
          <rPr>
            <sz val="9"/>
            <color indexed="81"/>
            <rFont val="TheSans UHH"/>
            <family val="2"/>
          </rPr>
          <t xml:space="preserve">) - Hier z. Z. auf 0 Euro, da LUK nur für echte Drittmittel (Tabellenblatt "HR-DM"). </t>
        </r>
        <r>
          <rPr>
            <sz val="9"/>
            <color indexed="81"/>
            <rFont val="Segoe UI"/>
            <family val="2"/>
          </rPr>
          <t xml:space="preserve">
</t>
        </r>
      </text>
    </comment>
    <comment ref="X5" authorId="0" shapeId="0" xr:uid="{41DFD2C5-A405-4662-B320-5ABD4729D0E9}">
      <text>
        <r>
          <rPr>
            <b/>
            <sz val="9"/>
            <color indexed="81"/>
            <rFont val="Segoe UI"/>
            <family val="2"/>
          </rPr>
          <t>ERKLÄRUNG:</t>
        </r>
        <r>
          <rPr>
            <sz val="9"/>
            <color indexed="81"/>
            <rFont val="Segoe UI"/>
            <family val="2"/>
          </rPr>
          <t xml:space="preserve">
für kalkulatorische Erhöhung
</t>
        </r>
      </text>
    </comment>
    <comment ref="X6" authorId="0" shapeId="0" xr:uid="{216594D9-A91B-4BD1-AD84-031F3A50AB35}">
      <text>
        <r>
          <rPr>
            <b/>
            <sz val="9"/>
            <color indexed="81"/>
            <rFont val="Segoe UI"/>
            <family val="2"/>
          </rPr>
          <t>HINWEIS</t>
        </r>
        <r>
          <rPr>
            <sz val="9"/>
            <color indexed="81"/>
            <rFont val="Segoe UI"/>
            <family val="2"/>
          </rPr>
          <t xml:space="preserve">
für anteilige JSZ
</t>
        </r>
      </text>
    </comment>
    <comment ref="X8" authorId="0" shapeId="0" xr:uid="{6AA9AAAA-0EED-4CE6-8ED9-AB8ACAD60E32}">
      <text>
        <r>
          <rPr>
            <b/>
            <sz val="9"/>
            <color indexed="81"/>
            <rFont val="Segoe UI"/>
            <family val="2"/>
          </rPr>
          <t>HINWEIS</t>
        </r>
        <r>
          <rPr>
            <sz val="9"/>
            <color indexed="81"/>
            <rFont val="Segoe UI"/>
            <family val="2"/>
          </rPr>
          <t xml:space="preserve">
für unbefristet beschäftigte</t>
        </r>
      </text>
    </comment>
    <comment ref="X9" authorId="0" shapeId="0" xr:uid="{10F36C88-FA2B-4098-BBAD-A771273F7DD6}">
      <text>
        <r>
          <rPr>
            <b/>
            <sz val="9"/>
            <color indexed="81"/>
            <rFont val="Segoe UI"/>
            <family val="2"/>
          </rPr>
          <t>HINWEIS!</t>
        </r>
        <r>
          <rPr>
            <sz val="9"/>
            <color indexed="81"/>
            <rFont val="Segoe UI"/>
            <family val="2"/>
          </rPr>
          <t xml:space="preserve">
Kontollfeld für Sonderzahlung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Ungruhe, Patrick</author>
  </authors>
  <commentList>
    <comment ref="V5" authorId="0" shapeId="0" xr:uid="{19B02A0E-768E-4C1F-92FC-F0F7E325491F}">
      <text>
        <r>
          <rPr>
            <b/>
            <sz val="11"/>
            <color indexed="81"/>
            <rFont val="TheSans UHH"/>
            <family val="2"/>
          </rPr>
          <t xml:space="preserve">HINWEIS Stufenwechsel: </t>
        </r>
        <r>
          <rPr>
            <b/>
            <sz val="9"/>
            <color indexed="81"/>
            <rFont val="TheSans UHH"/>
            <family val="2"/>
          </rPr>
          <t xml:space="preserve">
</t>
        </r>
        <r>
          <rPr>
            <sz val="9"/>
            <color indexed="81"/>
            <rFont val="TheSans UHH"/>
            <family val="2"/>
          </rPr>
          <t xml:space="preserve">Ein Stufenanstieg erfolgt </t>
        </r>
        <r>
          <rPr>
            <b/>
            <sz val="9"/>
            <color indexed="81"/>
            <rFont val="TheSans UHH"/>
            <family val="2"/>
          </rPr>
          <t xml:space="preserve">immer nach Beschäftigungsbeginn </t>
        </r>
        <r>
          <rPr>
            <sz val="9"/>
            <color indexed="81"/>
            <rFont val="TheSans UHH"/>
            <family val="2"/>
          </rPr>
          <t xml:space="preserve">zum </t>
        </r>
        <r>
          <rPr>
            <b/>
            <sz val="9"/>
            <color indexed="81"/>
            <rFont val="TheSans UHH"/>
            <family val="2"/>
          </rPr>
          <t xml:space="preserve">01.XX.20XX! </t>
        </r>
        <r>
          <rPr>
            <sz val="9"/>
            <color indexed="81"/>
            <rFont val="TheSans UHH"/>
            <family val="2"/>
          </rPr>
          <t xml:space="preserve">Hier muss immer ein Eintrag erfolgen, auch wenn der Stufenaufstieg erst nach dem Beschäftigungsende erfolgt. </t>
        </r>
        <r>
          <rPr>
            <b/>
            <sz val="9"/>
            <color indexed="81"/>
            <rFont val="TheSans UHH"/>
            <family val="2"/>
          </rPr>
          <t xml:space="preserve">Ggf. 01.01.2099 eintragen
</t>
        </r>
      </text>
    </comment>
    <comment ref="W5" authorId="0" shapeId="0" xr:uid="{1E33EFE9-6688-4357-8826-FE73AD8EB395}">
      <text>
        <r>
          <rPr>
            <b/>
            <sz val="11"/>
            <color indexed="81"/>
            <rFont val="TheSans UHH"/>
            <family val="2"/>
          </rPr>
          <t>HINWEIS Finanzierungsanteil:</t>
        </r>
        <r>
          <rPr>
            <sz val="9"/>
            <color indexed="81"/>
            <rFont val="TheSans UHH"/>
            <family val="2"/>
          </rPr>
          <t xml:space="preserve">
</t>
        </r>
        <r>
          <rPr>
            <b/>
            <sz val="9"/>
            <color indexed="81"/>
            <rFont val="TheSans UHH"/>
            <family val="2"/>
          </rPr>
          <t>Nur für LUK!</t>
        </r>
        <r>
          <rPr>
            <sz val="9"/>
            <color indexed="81"/>
            <rFont val="TheSans UHH"/>
            <family val="2"/>
          </rPr>
          <t xml:space="preserve"> bei mehreren Finanzierungsquellen bitte den Finanzierungsanteil eingeben (für die </t>
        </r>
        <r>
          <rPr>
            <b/>
            <sz val="9"/>
            <color indexed="81"/>
            <rFont val="TheSans UHH"/>
            <family val="2"/>
          </rPr>
          <t>anteilige LUK Berechnung</t>
        </r>
        <r>
          <rPr>
            <sz val="9"/>
            <color indexed="81"/>
            <rFont val="TheSans UHH"/>
            <family val="2"/>
          </rPr>
          <t xml:space="preserve">) </t>
        </r>
        <r>
          <rPr>
            <sz val="9"/>
            <color indexed="81"/>
            <rFont val="Segoe UI"/>
            <family val="2"/>
          </rPr>
          <t xml:space="preserve">
</t>
        </r>
      </text>
    </comment>
    <comment ref="X5" authorId="0" shapeId="0" xr:uid="{4E565A27-43ED-49B1-9BE3-27972964A0EE}">
      <text>
        <r>
          <rPr>
            <b/>
            <sz val="9"/>
            <color indexed="81"/>
            <rFont val="Segoe UI"/>
            <family val="2"/>
          </rPr>
          <t>ERKLÄRUNG:</t>
        </r>
        <r>
          <rPr>
            <sz val="9"/>
            <color indexed="81"/>
            <rFont val="Segoe UI"/>
            <family val="2"/>
          </rPr>
          <t xml:space="preserve">
für kalkulatorische Erhöhung
</t>
        </r>
      </text>
    </comment>
    <comment ref="X6" authorId="0" shapeId="0" xr:uid="{A82753DA-19D7-422D-BE8F-561D531F27F4}">
      <text>
        <r>
          <rPr>
            <b/>
            <sz val="9"/>
            <color indexed="81"/>
            <rFont val="Segoe UI"/>
            <family val="2"/>
          </rPr>
          <t>HINWEIS</t>
        </r>
        <r>
          <rPr>
            <sz val="9"/>
            <color indexed="81"/>
            <rFont val="Segoe UI"/>
            <family val="2"/>
          </rPr>
          <t xml:space="preserve">
für anteilige JSZ
</t>
        </r>
      </text>
    </comment>
    <comment ref="X8" authorId="0" shapeId="0" xr:uid="{7DBA2FC8-BEE3-4149-873E-924633EBDD55}">
      <text>
        <r>
          <rPr>
            <b/>
            <sz val="9"/>
            <color indexed="81"/>
            <rFont val="Segoe UI"/>
            <family val="2"/>
          </rPr>
          <t>HINWEIS</t>
        </r>
        <r>
          <rPr>
            <sz val="9"/>
            <color indexed="81"/>
            <rFont val="Segoe UI"/>
            <family val="2"/>
          </rPr>
          <t xml:space="preserve">
für unbefristet beschäftigte</t>
        </r>
      </text>
    </comment>
    <comment ref="X9" authorId="0" shapeId="0" xr:uid="{7680C505-6B81-45DE-99FC-A4ECA5394D1C}">
      <text>
        <r>
          <rPr>
            <b/>
            <sz val="9"/>
            <color indexed="81"/>
            <rFont val="Segoe UI"/>
            <family val="2"/>
          </rPr>
          <t>HINWEIS!</t>
        </r>
        <r>
          <rPr>
            <sz val="9"/>
            <color indexed="81"/>
            <rFont val="Segoe UI"/>
            <family val="2"/>
          </rPr>
          <t xml:space="preserve">
Kontollfeld für Sonderzahlung </t>
        </r>
      </text>
    </comment>
    <comment ref="AB110" authorId="0" shapeId="0" xr:uid="{ABCDEA41-3CAB-4308-AAC2-3666F91A10A9}">
      <text>
        <r>
          <rPr>
            <b/>
            <sz val="16"/>
            <color indexed="81"/>
            <rFont val="Tahoma"/>
            <family val="2"/>
          </rPr>
          <t>HINWEIS:</t>
        </r>
        <r>
          <rPr>
            <sz val="14"/>
            <color indexed="81"/>
            <rFont val="Tahoma"/>
            <family val="2"/>
          </rPr>
          <t xml:space="preserve">
Diese Zahl wird, bis auf ein paar cent, im Easy Online Portal angezeigt. Die Differenz ist auf den LUK Beitrag zurückzuführen. Zudem entstehen kleine Rundungsdifferenznen bei der Berechnung der Jahressonderzahlung gegenüber der Summe der normalen Hochrechnung.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Ungruhe, Patrick</author>
  </authors>
  <commentList>
    <comment ref="V5" authorId="0" shapeId="0" xr:uid="{F661646F-0884-4E69-B6F2-7E88DD6D49EB}">
      <text>
        <r>
          <rPr>
            <b/>
            <sz val="11"/>
            <color indexed="81"/>
            <rFont val="TheSans UHH"/>
            <family val="2"/>
          </rPr>
          <t xml:space="preserve">HINWEIS Stufenwechsel: </t>
        </r>
        <r>
          <rPr>
            <b/>
            <sz val="9"/>
            <color indexed="81"/>
            <rFont val="TheSans UHH"/>
            <family val="2"/>
          </rPr>
          <t xml:space="preserve">
</t>
        </r>
        <r>
          <rPr>
            <sz val="9"/>
            <color indexed="81"/>
            <rFont val="TheSans UHH"/>
            <family val="2"/>
          </rPr>
          <t xml:space="preserve">Ein Stufenanstieg erfolgt </t>
        </r>
        <r>
          <rPr>
            <b/>
            <sz val="9"/>
            <color indexed="81"/>
            <rFont val="TheSans UHH"/>
            <family val="2"/>
          </rPr>
          <t xml:space="preserve">immer nach Beschäftigungsbeginn </t>
        </r>
        <r>
          <rPr>
            <sz val="9"/>
            <color indexed="81"/>
            <rFont val="TheSans UHH"/>
            <family val="2"/>
          </rPr>
          <t xml:space="preserve">zum </t>
        </r>
        <r>
          <rPr>
            <b/>
            <sz val="9"/>
            <color indexed="81"/>
            <rFont val="TheSans UHH"/>
            <family val="2"/>
          </rPr>
          <t xml:space="preserve">01.XX.20XX! </t>
        </r>
        <r>
          <rPr>
            <sz val="9"/>
            <color indexed="81"/>
            <rFont val="TheSans UHH"/>
            <family val="2"/>
          </rPr>
          <t xml:space="preserve">Hier muss immer ein Eintrag erfolgen, auch wenn der Stufenaufstieg erst nach dem Beschäftigungsende erfolgt. </t>
        </r>
        <r>
          <rPr>
            <b/>
            <sz val="9"/>
            <color indexed="81"/>
            <rFont val="TheSans UHH"/>
            <family val="2"/>
          </rPr>
          <t xml:space="preserve">Ggf. 01.01.2099 eintragen
</t>
        </r>
      </text>
    </comment>
    <comment ref="W5" authorId="0" shapeId="0" xr:uid="{1791811B-8C4E-45F4-821F-A89673CD735C}">
      <text>
        <r>
          <rPr>
            <b/>
            <sz val="11"/>
            <color indexed="81"/>
            <rFont val="TheSans UHH"/>
            <family val="2"/>
          </rPr>
          <t>HINWEIS Finanzierungsanteil:</t>
        </r>
        <r>
          <rPr>
            <sz val="9"/>
            <color indexed="81"/>
            <rFont val="TheSans UHH"/>
            <family val="2"/>
          </rPr>
          <t xml:space="preserve">
</t>
        </r>
        <r>
          <rPr>
            <b/>
            <sz val="9"/>
            <color indexed="81"/>
            <rFont val="TheSans UHH"/>
            <family val="2"/>
          </rPr>
          <t>Nur für LUK!</t>
        </r>
        <r>
          <rPr>
            <sz val="9"/>
            <color indexed="81"/>
            <rFont val="TheSans UHH"/>
            <family val="2"/>
          </rPr>
          <t xml:space="preserve"> bei mehreren Finanzierungsquellen bitte den Finanzierungsanteil eingeben (für die </t>
        </r>
        <r>
          <rPr>
            <b/>
            <sz val="9"/>
            <color indexed="81"/>
            <rFont val="TheSans UHH"/>
            <family val="2"/>
          </rPr>
          <t>anteilige LUK Berechnung</t>
        </r>
        <r>
          <rPr>
            <sz val="9"/>
            <color indexed="81"/>
            <rFont val="TheSans UHH"/>
            <family val="2"/>
          </rPr>
          <t xml:space="preserve">) </t>
        </r>
        <r>
          <rPr>
            <sz val="9"/>
            <color indexed="81"/>
            <rFont val="Segoe UI"/>
            <family val="2"/>
          </rPr>
          <t xml:space="preserve">
</t>
        </r>
      </text>
    </comment>
    <comment ref="X5" authorId="0" shapeId="0" xr:uid="{FB04CC1E-A3B3-4D3F-B6AF-4ACF7D0F8B59}">
      <text>
        <r>
          <rPr>
            <b/>
            <sz val="9"/>
            <color indexed="81"/>
            <rFont val="Segoe UI"/>
            <family val="2"/>
          </rPr>
          <t>ERKLÄRUNG:</t>
        </r>
        <r>
          <rPr>
            <sz val="9"/>
            <color indexed="81"/>
            <rFont val="Segoe UI"/>
            <family val="2"/>
          </rPr>
          <t xml:space="preserve">
für kalkulatorische Erhöhung
</t>
        </r>
      </text>
    </comment>
    <comment ref="X6" authorId="0" shapeId="0" xr:uid="{2B157C78-49C4-485C-9447-8888591B3026}">
      <text>
        <r>
          <rPr>
            <b/>
            <sz val="9"/>
            <color indexed="81"/>
            <rFont val="Segoe UI"/>
            <family val="2"/>
          </rPr>
          <t>HINWEIS</t>
        </r>
        <r>
          <rPr>
            <sz val="9"/>
            <color indexed="81"/>
            <rFont val="Segoe UI"/>
            <family val="2"/>
          </rPr>
          <t xml:space="preserve">
für anteilige JSZ
</t>
        </r>
      </text>
    </comment>
    <comment ref="X8" authorId="0" shapeId="0" xr:uid="{F947228F-1582-41A3-997F-9999D68B3DF9}">
      <text>
        <r>
          <rPr>
            <b/>
            <sz val="9"/>
            <color indexed="81"/>
            <rFont val="Segoe UI"/>
            <family val="2"/>
          </rPr>
          <t>HINWEIS</t>
        </r>
        <r>
          <rPr>
            <sz val="9"/>
            <color indexed="81"/>
            <rFont val="Segoe UI"/>
            <family val="2"/>
          </rPr>
          <t xml:space="preserve">
für unbefristet beschäftigte</t>
        </r>
      </text>
    </comment>
    <comment ref="X9" authorId="0" shapeId="0" xr:uid="{712ABF9F-B81E-4CF3-83C4-57A4D43A18BF}">
      <text>
        <r>
          <rPr>
            <b/>
            <sz val="9"/>
            <color indexed="81"/>
            <rFont val="Segoe UI"/>
            <family val="2"/>
          </rPr>
          <t>HINWEIS!</t>
        </r>
        <r>
          <rPr>
            <sz val="9"/>
            <color indexed="81"/>
            <rFont val="Segoe UI"/>
            <family val="2"/>
          </rPr>
          <t xml:space="preserve">
Kontollfeld für Sonderzahlung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Ungruhe, Patrick</author>
  </authors>
  <commentList>
    <comment ref="P5" authorId="0" shapeId="0" xr:uid="{88844879-F0D5-4726-BB0D-03540BDDDCE0}">
      <text>
        <r>
          <rPr>
            <b/>
            <u/>
            <sz val="11"/>
            <color indexed="81"/>
            <rFont val="TheSans UHH"/>
            <family val="2"/>
          </rPr>
          <t xml:space="preserve">HINWEIS Std pro Monat/SWS pro Monat: </t>
        </r>
        <r>
          <rPr>
            <sz val="9"/>
            <color indexed="81"/>
            <rFont val="TheSans UHH"/>
            <family val="2"/>
          </rPr>
          <t xml:space="preserve">
Bei </t>
        </r>
        <r>
          <rPr>
            <b/>
            <sz val="9"/>
            <color indexed="81"/>
            <rFont val="TheSans UHH"/>
            <family val="2"/>
          </rPr>
          <t>Tutor:innen</t>
        </r>
        <r>
          <rPr>
            <sz val="9"/>
            <color indexed="81"/>
            <rFont val="TheSans UHH"/>
            <family val="2"/>
          </rPr>
          <t xml:space="preserve"> sind die</t>
        </r>
        <r>
          <rPr>
            <b/>
            <sz val="9"/>
            <color indexed="81"/>
            <rFont val="TheSans UHH"/>
            <family val="2"/>
          </rPr>
          <t xml:space="preserve"> SWS (Semesterwochenstunde)  pro Monat </t>
        </r>
        <r>
          <rPr>
            <sz val="9"/>
            <color indexed="81"/>
            <rFont val="TheSans UHH"/>
            <family val="2"/>
          </rPr>
          <t xml:space="preserve">anzugeben. 
</t>
        </r>
        <r>
          <rPr>
            <b/>
            <sz val="9"/>
            <color indexed="81"/>
            <rFont val="TheSans UHH"/>
            <family val="2"/>
          </rPr>
          <t>SHK/WHK</t>
        </r>
        <r>
          <rPr>
            <sz val="9"/>
            <color indexed="81"/>
            <rFont val="TheSans UHH"/>
            <family val="2"/>
          </rPr>
          <t xml:space="preserve"> = max. 80 Std </t>
        </r>
      </text>
    </comment>
    <comment ref="Q5" authorId="0" shapeId="0" xr:uid="{1AC2DBED-5F05-4D8F-9C49-1701AA57B506}">
      <text>
        <r>
          <rPr>
            <b/>
            <u/>
            <sz val="11"/>
            <color indexed="81"/>
            <rFont val="TheSans UHH"/>
            <family val="2"/>
          </rPr>
          <t>HINWEIS Finanzierungsanteil:</t>
        </r>
        <r>
          <rPr>
            <u/>
            <sz val="9"/>
            <color indexed="81"/>
            <rFont val="TheSans UHH"/>
            <family val="2"/>
          </rPr>
          <t xml:space="preserve">
</t>
        </r>
        <r>
          <rPr>
            <b/>
            <sz val="9"/>
            <color indexed="81"/>
            <rFont val="TheSans UHH"/>
            <family val="2"/>
          </rPr>
          <t>Nur für LUK!</t>
        </r>
        <r>
          <rPr>
            <sz val="9"/>
            <color indexed="81"/>
            <rFont val="TheSans UHH"/>
            <family val="2"/>
          </rPr>
          <t xml:space="preserve"> bei mehreren Finanzierungsquellen bitte den Finanzierungsanteil eingeben (für die </t>
        </r>
        <r>
          <rPr>
            <b/>
            <sz val="9"/>
            <color indexed="81"/>
            <rFont val="TheSans UHH"/>
            <family val="2"/>
          </rPr>
          <t>anteilige LUK Berechnung</t>
        </r>
        <r>
          <rPr>
            <sz val="9"/>
            <color indexed="81"/>
            <rFont val="TheSans UHH"/>
            <family val="2"/>
          </rPr>
          <t xml:space="preserve">)  - </t>
        </r>
        <r>
          <rPr>
            <b/>
            <sz val="9"/>
            <color indexed="81"/>
            <rFont val="TheSans UHH"/>
            <family val="2"/>
          </rPr>
          <t xml:space="preserve">bei U2/U7/U5FOD auf 0,00 % </t>
        </r>
        <r>
          <rPr>
            <sz val="9"/>
            <color indexed="81"/>
            <rFont val="TheSans UHH"/>
            <family val="2"/>
          </rPr>
          <t xml:space="preserve">stellen
</t>
        </r>
      </text>
    </comment>
    <comment ref="AB11" authorId="0" shapeId="0" xr:uid="{1A299ACE-4F30-42C3-9EF1-F6C4E58D269C}">
      <text>
        <r>
          <rPr>
            <b/>
            <sz val="9"/>
            <color indexed="81"/>
            <rFont val="TheSans UHH"/>
            <family val="2"/>
          </rPr>
          <t xml:space="preserve">HINWEIS: 
</t>
        </r>
        <r>
          <rPr>
            <sz val="9"/>
            <color indexed="81"/>
            <rFont val="TheSans UHH"/>
            <family val="2"/>
          </rPr>
          <t>Wenn sich die Arbeitsstunden pro Monat während der Anstellung ändern, kann man zunächst die durchschnittliche Stundenzahl berechnen und das Ergebnis dann in Zelle P6 eintragen</t>
        </r>
        <r>
          <rPr>
            <b/>
            <sz val="9"/>
            <color indexed="81"/>
            <rFont val="Segoe UI"/>
            <family val="2"/>
          </rPr>
          <t xml:space="preserve">
</t>
        </r>
        <r>
          <rPr>
            <sz val="9"/>
            <color indexed="81"/>
            <rFont val="Segoe UI"/>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Ungruhe, Patrick</author>
  </authors>
  <commentList>
    <comment ref="J15" authorId="0" shapeId="0" xr:uid="{06E62080-8FA4-435E-B314-2374901613D1}">
      <text>
        <r>
          <rPr>
            <b/>
            <sz val="9"/>
            <color indexed="81"/>
            <rFont val="Tahoma"/>
            <family val="2"/>
          </rPr>
          <t>Ungruhe, Patrick:</t>
        </r>
        <r>
          <rPr>
            <sz val="9"/>
            <color indexed="81"/>
            <rFont val="Tahoma"/>
            <family val="2"/>
          </rPr>
          <t xml:space="preserve">
Die Spalten "Anzahl" und "Gesamt" können ggf. ein- und ausgeblendet werden! Einfach auf das oben angezeigt </t>
        </r>
        <r>
          <rPr>
            <b/>
            <sz val="9"/>
            <color indexed="81"/>
            <rFont val="Tahoma"/>
            <family val="2"/>
          </rPr>
          <t>"+"</t>
        </r>
        <r>
          <rPr>
            <sz val="9"/>
            <color indexed="81"/>
            <rFont val="Tahoma"/>
            <family val="2"/>
          </rPr>
          <t xml:space="preserve"> oder</t>
        </r>
        <r>
          <rPr>
            <b/>
            <sz val="9"/>
            <color indexed="81"/>
            <rFont val="Tahoma"/>
            <family val="2"/>
          </rPr>
          <t xml:space="preserve"> "-" </t>
        </r>
        <r>
          <rPr>
            <sz val="9"/>
            <color indexed="81"/>
            <rFont val="Tahoma"/>
            <family val="2"/>
          </rPr>
          <t xml:space="preserve">klicken!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Ungruhe, Patrick</author>
  </authors>
  <commentList>
    <comment ref="G67" authorId="0" shapeId="0" xr:uid="{00000000-0006-0000-0900-000001000000}">
      <text>
        <r>
          <rPr>
            <b/>
            <sz val="9"/>
            <color indexed="81"/>
            <rFont val="Segoe UI"/>
            <family val="2"/>
          </rPr>
          <t>HINWEIS:</t>
        </r>
        <r>
          <rPr>
            <sz val="9"/>
            <color indexed="81"/>
            <rFont val="Segoe UI"/>
            <family val="2"/>
          </rPr>
          <t xml:space="preserve">
generelle kalkulatorische Erhöhung. Durch Eingabe änderbar </t>
        </r>
      </text>
    </comment>
    <comment ref="O73" authorId="0" shapeId="0" xr:uid="{F1D20B8F-BD89-4E57-A06C-7E42BB3797B0}">
      <text>
        <r>
          <rPr>
            <b/>
            <sz val="9"/>
            <color indexed="81"/>
            <rFont val="Segoe UI"/>
            <family val="2"/>
          </rPr>
          <t>Ungruhe, Patrick:</t>
        </r>
        <r>
          <rPr>
            <sz val="9"/>
            <color indexed="81"/>
            <rFont val="Segoe UI"/>
            <family val="2"/>
          </rPr>
          <t xml:space="preserve">
bis 06.2023 = 3,05
ab 07.2023 = 3,4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Ungruhe, Patrick</author>
  </authors>
  <commentList>
    <comment ref="H10" authorId="0" shapeId="0" xr:uid="{50BC3598-57C0-4E2C-9CD1-78312F8DF92E}">
      <text>
        <r>
          <rPr>
            <b/>
            <sz val="9"/>
            <color indexed="81"/>
            <rFont val="Segoe UI"/>
            <family val="2"/>
          </rPr>
          <t xml:space="preserve">HINWEIS: </t>
        </r>
        <r>
          <rPr>
            <sz val="9"/>
            <color indexed="81"/>
            <rFont val="Segoe UI"/>
            <family val="2"/>
          </rPr>
          <t>Bezieht sich immer auf das Jahr im Startdatum</t>
        </r>
        <r>
          <rPr>
            <b/>
            <sz val="9"/>
            <color indexed="81"/>
            <rFont val="Segoe UI"/>
            <family val="2"/>
          </rPr>
          <t xml:space="preserve"> </t>
        </r>
        <r>
          <rPr>
            <sz val="9"/>
            <color indexed="81"/>
            <rFont val="Segoe UI"/>
            <family val="2"/>
          </rPr>
          <t xml:space="preserve">
</t>
        </r>
      </text>
    </comment>
    <comment ref="A11" authorId="0" shapeId="0" xr:uid="{AC60D49F-B879-4012-A213-15823F7308D7}">
      <text>
        <r>
          <rPr>
            <b/>
            <sz val="9"/>
            <color indexed="81"/>
            <rFont val="Segoe UI"/>
            <family val="2"/>
          </rPr>
          <t xml:space="preserve">SV-Beitrag bei Überschreitung der Minijobgrenze
</t>
        </r>
        <r>
          <rPr>
            <sz val="9"/>
            <color indexed="81"/>
            <rFont val="Segoe UI"/>
            <family val="2"/>
          </rPr>
          <t xml:space="preserve">Diese werden i. d. R. als Werksstudentin gemeldet. Daher der reduzierte Satz, welcher sich bis zum 30.09.2022 aus RV/2 und U2-Umlage zusammensetz. Ab dem 01.10.2023 gibt es keinen festen RV-Beitragssatz, sondern auch der Übergangsbereich, je niedriger der Verdienst im Übergangsbereich, desto höher der Arbeitgeberanteil 
</t>
        </r>
      </text>
    </comment>
    <comment ref="A12" authorId="0" shapeId="0" xr:uid="{A22EC026-4A0E-43A8-98D3-2E277E833697}">
      <text>
        <r>
          <rPr>
            <b/>
            <sz val="9"/>
            <color indexed="81"/>
            <rFont val="Segoe UI"/>
            <family val="2"/>
          </rPr>
          <t>SV Beitrag bei AKA ü Minijobgrenze:</t>
        </r>
        <r>
          <rPr>
            <sz val="9"/>
            <color indexed="81"/>
            <rFont val="Segoe UI"/>
            <family val="2"/>
          </rPr>
          <t xml:space="preserve">
Ein (nichtstudierender) Akademischer Tutor wird, wie ein normaler Angestellter behandelt )</t>
        </r>
      </text>
    </comment>
    <comment ref="B21" authorId="0" shapeId="0" xr:uid="{6BDCE0A3-FC50-4F02-AD77-BDF91D2EF0F1}">
      <text>
        <r>
          <rPr>
            <b/>
            <sz val="9"/>
            <color indexed="81"/>
            <rFont val="Segoe UI"/>
            <family val="2"/>
          </rPr>
          <t>HINWEIS:</t>
        </r>
        <r>
          <rPr>
            <sz val="9"/>
            <color indexed="81"/>
            <rFont val="Segoe UI"/>
            <family val="2"/>
          </rPr>
          <t xml:space="preserve"> Bezieht sich immer auf das Jahr im Startdatum</t>
        </r>
      </text>
    </comment>
    <comment ref="B22" authorId="0" shapeId="0" xr:uid="{A7812057-530D-4F05-BEDA-77F341253865}">
      <text>
        <r>
          <rPr>
            <b/>
            <sz val="9"/>
            <color indexed="81"/>
            <rFont val="Segoe UI"/>
            <family val="2"/>
          </rPr>
          <t>HINWEIS:</t>
        </r>
        <r>
          <rPr>
            <sz val="9"/>
            <color indexed="81"/>
            <rFont val="Segoe UI"/>
            <family val="2"/>
          </rPr>
          <t xml:space="preserve"> Bezieht sich immer auf das Jahr im Startdatum</t>
        </r>
      </text>
    </comment>
  </commentList>
</comments>
</file>

<file path=xl/sharedStrings.xml><?xml version="1.0" encoding="utf-8"?>
<sst xmlns="http://schemas.openxmlformats.org/spreadsheetml/2006/main" count="1955" uniqueCount="310">
  <si>
    <t>von</t>
  </si>
  <si>
    <t>bis</t>
  </si>
  <si>
    <t>ENTGELT</t>
  </si>
  <si>
    <t>Entgeltgruppe</t>
  </si>
  <si>
    <t xml:space="preserve">Entgelt </t>
  </si>
  <si>
    <t>Brutto</t>
  </si>
  <si>
    <t>Jahressonderz.</t>
  </si>
  <si>
    <t>JSZ</t>
  </si>
  <si>
    <t>AGA</t>
  </si>
  <si>
    <t>VZ</t>
  </si>
  <si>
    <t>LUK</t>
  </si>
  <si>
    <t>Gesamt</t>
  </si>
  <si>
    <t>Jan</t>
  </si>
  <si>
    <t>Feb</t>
  </si>
  <si>
    <t>Mrz</t>
  </si>
  <si>
    <t>Apr</t>
  </si>
  <si>
    <t>Mai</t>
  </si>
  <si>
    <t>Jun</t>
  </si>
  <si>
    <t>Jul</t>
  </si>
  <si>
    <t>Aug</t>
  </si>
  <si>
    <t>Sep</t>
  </si>
  <si>
    <t>Okt</t>
  </si>
  <si>
    <t>Nov</t>
  </si>
  <si>
    <t>Dez</t>
  </si>
  <si>
    <t>Summe Jahr</t>
  </si>
  <si>
    <t>JSZ mtl.</t>
  </si>
  <si>
    <t>Summe Gesamtzeitraum</t>
  </si>
  <si>
    <t>Gruppe / Stufe</t>
  </si>
  <si>
    <t>15 Ü</t>
  </si>
  <si>
    <t>13 Ü</t>
  </si>
  <si>
    <t>2 Ü</t>
  </si>
  <si>
    <t>Jahr_Monat</t>
  </si>
  <si>
    <t>Tage1</t>
  </si>
  <si>
    <t>Tage2</t>
  </si>
  <si>
    <t>Tage3</t>
  </si>
  <si>
    <t>Sozialversicherung</t>
  </si>
  <si>
    <t>Beitragssatz</t>
  </si>
  <si>
    <t>Arbeitnehmer-</t>
  </si>
  <si>
    <t>Beitrag</t>
  </si>
  <si>
    <t>Arbeitgeber-</t>
  </si>
  <si>
    <t>Rentenversicherung</t>
  </si>
  <si>
    <t>Arbeitslosenversicherung</t>
  </si>
  <si>
    <t>Summe</t>
  </si>
  <si>
    <t>Anspruch im Kalenderjahr vorhanden?</t>
  </si>
  <si>
    <t>Jahressonderzahlung Bereich Länder, Tarifgebiet West</t>
  </si>
  <si>
    <t>regelmäßige Arbeitszeit Bereich Länder, Tarifgebiet West</t>
  </si>
  <si>
    <t>Versorgungszuschlag</t>
  </si>
  <si>
    <t>Beitrag Landesunfallkasse</t>
  </si>
  <si>
    <t>Betrag</t>
  </si>
  <si>
    <t>Zuschlag</t>
  </si>
  <si>
    <t>Prozent</t>
  </si>
  <si>
    <t>Stunden</t>
  </si>
  <si>
    <t>Wöchentl.</t>
  </si>
  <si>
    <t>Kalkulatorische Tariferhöhung</t>
  </si>
  <si>
    <t xml:space="preserve">SV-Beiträge </t>
  </si>
  <si>
    <t>Beitrags-bemessungsgrenze</t>
  </si>
  <si>
    <t xml:space="preserve">Arbeitgeber-
</t>
  </si>
  <si>
    <t>Höchstbeitrag</t>
  </si>
  <si>
    <t>Jahr</t>
  </si>
  <si>
    <t>Monate</t>
  </si>
  <si>
    <t>Monatssatz</t>
  </si>
  <si>
    <t>monatl.
Zuschläge</t>
  </si>
  <si>
    <t>Zuschläge
(JSZ) gesamt</t>
  </si>
  <si>
    <t>gesamt</t>
  </si>
  <si>
    <t>SV-Beitrag</t>
  </si>
  <si>
    <t xml:space="preserve">Projekt: </t>
  </si>
  <si>
    <t>Entgelt/ pro Stunde/ SWS</t>
  </si>
  <si>
    <t>Art</t>
  </si>
  <si>
    <t>Gesamtstundenzahl</t>
  </si>
  <si>
    <t>Entgelt Gesamt/ Monat</t>
  </si>
  <si>
    <t>SWS</t>
  </si>
  <si>
    <t>wöchentl. Arbeitszeit</t>
  </si>
  <si>
    <t>regelmäßige Arbeitszeit Std/ SWS pro Monat</t>
  </si>
  <si>
    <t>Akad. Tutor</t>
  </si>
  <si>
    <t>Studentische Hilfskraft</t>
  </si>
  <si>
    <t>Stud. Tutor</t>
  </si>
  <si>
    <t>Stellenanteil in %:</t>
  </si>
  <si>
    <t>Monate Gesamt</t>
  </si>
  <si>
    <t>Berechnung Durschnittsstundenzahl</t>
  </si>
  <si>
    <t>Anzahl Monat</t>
  </si>
  <si>
    <t>Durschnitts-
stunden</t>
  </si>
  <si>
    <t>SHK oder Tutor (Drop Down)</t>
  </si>
  <si>
    <t>Vergütungsübersicht Tutoren</t>
  </si>
  <si>
    <t>JSZ Gesamt</t>
  </si>
  <si>
    <t>Monatssätze  gesamt</t>
  </si>
  <si>
    <t>Monatssätze gesamt</t>
  </si>
  <si>
    <t>Beginn</t>
  </si>
  <si>
    <t>Ende</t>
  </si>
  <si>
    <t xml:space="preserve">Stufe </t>
  </si>
  <si>
    <t>Anteil in % ( Std./ Woche)</t>
  </si>
  <si>
    <t>Anzahl</t>
  </si>
  <si>
    <t>Stufe:</t>
  </si>
  <si>
    <t>Kalkulatorische Erhöhung</t>
  </si>
  <si>
    <t>Arbeitgeberanteil</t>
  </si>
  <si>
    <t>Versorgungzuschlag</t>
  </si>
  <si>
    <t>Landesunfallkasse</t>
  </si>
  <si>
    <t>Arbeitnehmerbrutto</t>
  </si>
  <si>
    <t>Jahressonderzahlung</t>
  </si>
  <si>
    <t>Hochrechnung*</t>
  </si>
  <si>
    <t>in Stunden*</t>
  </si>
  <si>
    <t>LM</t>
  </si>
  <si>
    <t>9 K</t>
  </si>
  <si>
    <t>http://oeffentlicher-dienst.info/tv-l/</t>
  </si>
  <si>
    <t>Mittelwert</t>
  </si>
  <si>
    <t xml:space="preserve">kalkulatorische Erhöhung  </t>
  </si>
  <si>
    <t xml:space="preserve">Entgeltgruppe: </t>
  </si>
  <si>
    <t>Tarifvertrag für den Öffentlichen Dienst der Länder (Bereich Länder, Tarifgebiet West)</t>
  </si>
  <si>
    <t xml:space="preserve">Mittelwert </t>
  </si>
  <si>
    <t>Mittelwert Jahr</t>
  </si>
  <si>
    <t>Entgeltgruppe (Drop Down)</t>
  </si>
  <si>
    <r>
      <t xml:space="preserve">Zeitraum </t>
    </r>
    <r>
      <rPr>
        <b/>
        <sz val="10"/>
        <color rgb="FFFF0000"/>
        <rFont val="TheSans UHH"/>
        <family val="2"/>
      </rPr>
      <t>(z. B. 01.01.20XX bis 31.12.20XX)</t>
    </r>
  </si>
  <si>
    <r>
      <t xml:space="preserve">regelmäßige Arbeitszeit Std./Woche </t>
    </r>
    <r>
      <rPr>
        <b/>
        <sz val="10"/>
        <color rgb="FFFF0000"/>
        <rFont val="TheSans UHH"/>
        <family val="2"/>
      </rPr>
      <t>(=100%)</t>
    </r>
  </si>
  <si>
    <t>Für PDB (Projektdatenblatt) --&gt;z. B. kopieren und Werte einfügen</t>
  </si>
  <si>
    <t>Projektbezeichnung</t>
  </si>
  <si>
    <t xml:space="preserve">Entgeltgruppe </t>
  </si>
  <si>
    <t>Stufe
(DropDown)</t>
  </si>
  <si>
    <t>PSP-Element</t>
  </si>
  <si>
    <t>Beschäftigungszeitraum:</t>
  </si>
  <si>
    <t>Erstellungsdatum:</t>
  </si>
  <si>
    <t>Erstellungsdatum</t>
  </si>
  <si>
    <t>Für PDB (Projektdatenblatt) --&gt; z. B.  kopieren und Werte einfügen</t>
  </si>
  <si>
    <t>Name/Pers.Nr</t>
  </si>
  <si>
    <t>kalkulatorisch Erhöhung</t>
  </si>
  <si>
    <r>
      <t xml:space="preserve">Bitte nur die </t>
    </r>
    <r>
      <rPr>
        <b/>
        <sz val="12"/>
        <color theme="4" tint="-0.249977111117893"/>
        <rFont val="TheSans UHH"/>
        <family val="2"/>
      </rPr>
      <t>blauen Felder</t>
    </r>
    <r>
      <rPr>
        <sz val="10"/>
        <color theme="1"/>
        <rFont val="TheSans UHH"/>
        <family val="2"/>
      </rPr>
      <t xml:space="preserve"> ausfüllen!</t>
    </r>
  </si>
  <si>
    <t>Std/ SWS</t>
  </si>
  <si>
    <t xml:space="preserve">Bermerkung </t>
  </si>
  <si>
    <r>
      <t>Bitte nur die</t>
    </r>
    <r>
      <rPr>
        <sz val="12"/>
        <rFont val="TheSans UHH"/>
        <family val="2"/>
      </rPr>
      <t xml:space="preserve"> </t>
    </r>
    <r>
      <rPr>
        <b/>
        <sz val="14"/>
        <color theme="5" tint="0.59999389629810485"/>
        <rFont val="TheSans UHH"/>
        <family val="2"/>
      </rPr>
      <t>roten Felder (PFLICHTFELDER)</t>
    </r>
    <r>
      <rPr>
        <b/>
        <sz val="10"/>
        <color theme="5" tint="0.59999389629810485"/>
        <rFont val="TheSans UHH"/>
        <family val="2"/>
      </rPr>
      <t xml:space="preserve"> </t>
    </r>
    <r>
      <rPr>
        <sz val="10"/>
        <rFont val="TheSans UHH"/>
        <family val="2"/>
      </rPr>
      <t xml:space="preserve">und </t>
    </r>
    <r>
      <rPr>
        <b/>
        <sz val="14"/>
        <color theme="4" tint="0.39997558519241921"/>
        <rFont val="TheSans UHH"/>
        <family val="2"/>
      </rPr>
      <t>die blauen Felder</t>
    </r>
    <r>
      <rPr>
        <sz val="10"/>
        <color theme="4"/>
        <rFont val="TheSans UHH"/>
        <family val="2"/>
      </rPr>
      <t xml:space="preserve"> </t>
    </r>
    <r>
      <rPr>
        <sz val="10"/>
        <rFont val="TheSans UHH"/>
        <family val="2"/>
      </rPr>
      <t xml:space="preserve">ausfüllen! Die </t>
    </r>
    <r>
      <rPr>
        <b/>
        <sz val="14"/>
        <rFont val="TheSans UHH"/>
        <family val="2"/>
      </rPr>
      <t>gelben Felder</t>
    </r>
    <r>
      <rPr>
        <b/>
        <sz val="12"/>
        <rFont val="TheSans UHH"/>
        <family val="2"/>
      </rPr>
      <t xml:space="preserve"> </t>
    </r>
    <r>
      <rPr>
        <b/>
        <u/>
        <sz val="12"/>
        <rFont val="TheSans UHH"/>
        <family val="2"/>
      </rPr>
      <t>können</t>
    </r>
    <r>
      <rPr>
        <sz val="10"/>
        <rFont val="TheSans UHH"/>
        <family val="2"/>
      </rPr>
      <t xml:space="preserve"> im Nachhinein für Korrekturen überschrieben werden.</t>
    </r>
  </si>
  <si>
    <t>Krankenversicherung*</t>
  </si>
  <si>
    <t>Pflegeversicherung**</t>
  </si>
  <si>
    <t>KV</t>
  </si>
  <si>
    <t>RV</t>
  </si>
  <si>
    <t>U2-Umlage***</t>
  </si>
  <si>
    <t>Beitragsbemessungsgrenze</t>
  </si>
  <si>
    <t>U2-Umlage</t>
  </si>
  <si>
    <t>Stand: 14.06.2019</t>
  </si>
  <si>
    <t xml:space="preserve">Krankenversicherung </t>
  </si>
  <si>
    <t>Satz</t>
  </si>
  <si>
    <t>Druchschnittlicher Satz</t>
  </si>
  <si>
    <t xml:space="preserve">Pflegeversicherung  </t>
  </si>
  <si>
    <t xml:space="preserve">Unfallversicherung </t>
  </si>
  <si>
    <t xml:space="preserve">Arbeitslosenversicherung </t>
  </si>
  <si>
    <t>Beitrag Landesunfallkasse (Unfallversicherung)</t>
  </si>
  <si>
    <t>***Referenzkasse = Techniker Krankenkasse</t>
  </si>
  <si>
    <t>Prozent  LM</t>
  </si>
  <si>
    <t>Prozent DM</t>
  </si>
  <si>
    <t>Landesunfallkassenbeitrag</t>
  </si>
  <si>
    <t>monatlich</t>
  </si>
  <si>
    <t>Monatlich</t>
  </si>
  <si>
    <t>Stand: 03.01.2020</t>
  </si>
  <si>
    <t>AG-Anteil wie bei Angestellten</t>
  </si>
  <si>
    <t>Studentische Hilfskraft (SHK)</t>
  </si>
  <si>
    <t>Wissenschaflliche Hilfskraft (WHK)</t>
  </si>
  <si>
    <t>Wissenschaftliche Hilfskraft</t>
  </si>
  <si>
    <t>Vergütung Studentische Hilfskräfte, Wissenschaftliche Hilfskräfte  und Tutoren</t>
  </si>
  <si>
    <t>SHK/WHK/TUT</t>
  </si>
  <si>
    <t>DM</t>
  </si>
  <si>
    <t>KV und PV</t>
  </si>
  <si>
    <t>RV und AV</t>
  </si>
  <si>
    <t>Prozent DM unbefristet</t>
  </si>
  <si>
    <t>DM unbefristet</t>
  </si>
  <si>
    <t>Wochenstunden im Projekt in %</t>
  </si>
  <si>
    <t>Stellenanteil in %</t>
  </si>
  <si>
    <t>Projektanteil in %</t>
  </si>
  <si>
    <t>Mini-Jobgrenze 
nicht berücksichiten</t>
  </si>
  <si>
    <t>Finanzierungs-anteil für LUK</t>
  </si>
  <si>
    <t>Wochenstunden  Gesamt</t>
  </si>
  <si>
    <t>Wochenstunden im Projekt</t>
  </si>
  <si>
    <t>Finanzierungs-anteil - LUK-Beitrag</t>
  </si>
  <si>
    <t>TVL-Beschäftigte</t>
  </si>
  <si>
    <t>Umlagesätze U2: Liste nach Krankenkassen - Krankenkassen.de</t>
  </si>
  <si>
    <t xml:space="preserve">Nächster Stufenaufstieg: </t>
  </si>
  <si>
    <r>
      <t>Stufe</t>
    </r>
    <r>
      <rPr>
        <b/>
        <vertAlign val="superscript"/>
        <sz val="10"/>
        <rFont val="TheSans UHH"/>
        <family val="2"/>
      </rPr>
      <t>1)</t>
    </r>
  </si>
  <si>
    <r>
      <t>Jahressonderzahlung (JSZ)</t>
    </r>
    <r>
      <rPr>
        <b/>
        <vertAlign val="superscript"/>
        <sz val="10"/>
        <rFont val="TheSans UHH"/>
        <family val="2"/>
      </rPr>
      <t>2)</t>
    </r>
  </si>
  <si>
    <r>
      <t>ggf. Kalkulation Tariferhöhung</t>
    </r>
    <r>
      <rPr>
        <b/>
        <vertAlign val="superscript"/>
        <sz val="10"/>
        <rFont val="TheSans UHH"/>
        <family val="2"/>
      </rPr>
      <t>3)</t>
    </r>
  </si>
  <si>
    <r>
      <t>Stufenwechsel 
ab</t>
    </r>
    <r>
      <rPr>
        <b/>
        <vertAlign val="superscript"/>
        <sz val="10"/>
        <color theme="1"/>
        <rFont val="TheSans UHH"/>
        <family val="2"/>
      </rPr>
      <t>4)</t>
    </r>
  </si>
  <si>
    <r>
      <t>Bitte nur die</t>
    </r>
    <r>
      <rPr>
        <sz val="12"/>
        <rFont val="TheSans UHH"/>
        <family val="2"/>
      </rPr>
      <t xml:space="preserve"> </t>
    </r>
    <r>
      <rPr>
        <b/>
        <sz val="14"/>
        <color theme="5" tint="0.59999389629810485"/>
        <rFont val="TheSans UHH"/>
        <family val="2"/>
      </rPr>
      <t>roten Felder (PFLICHTFELDER)</t>
    </r>
    <r>
      <rPr>
        <b/>
        <sz val="10"/>
        <color theme="5" tint="0.59999389629810485"/>
        <rFont val="TheSans UHH"/>
        <family val="2"/>
      </rPr>
      <t xml:space="preserve"> </t>
    </r>
    <r>
      <rPr>
        <sz val="10"/>
        <rFont val="TheSans UHH"/>
        <family val="2"/>
      </rPr>
      <t xml:space="preserve">und </t>
    </r>
    <r>
      <rPr>
        <b/>
        <sz val="14"/>
        <color theme="4" tint="0.39997558519241921"/>
        <rFont val="TheSans UHH"/>
        <family val="2"/>
      </rPr>
      <t>die blauen Felder</t>
    </r>
    <r>
      <rPr>
        <sz val="10"/>
        <color theme="4"/>
        <rFont val="TheSans UHH"/>
        <family val="2"/>
      </rPr>
      <t xml:space="preserve"> </t>
    </r>
    <r>
      <rPr>
        <sz val="10"/>
        <rFont val="TheSans UHH"/>
        <family val="2"/>
      </rPr>
      <t xml:space="preserve">ausfüllen! Die </t>
    </r>
    <r>
      <rPr>
        <b/>
        <sz val="14"/>
        <rFont val="TheSans UHH"/>
        <family val="2"/>
      </rPr>
      <t>gelben Felder</t>
    </r>
    <r>
      <rPr>
        <b/>
        <sz val="12"/>
        <rFont val="TheSans UHH"/>
        <family val="2"/>
      </rPr>
      <t xml:space="preserve"> </t>
    </r>
    <r>
      <rPr>
        <b/>
        <u/>
        <sz val="14"/>
        <rFont val="TheSans UHH"/>
        <family val="2"/>
      </rPr>
      <t>können</t>
    </r>
    <r>
      <rPr>
        <sz val="10"/>
        <rFont val="TheSans UHH"/>
        <family val="2"/>
      </rPr>
      <t xml:space="preserve"> im Nachhinein für Korrekturen überschrieben werden.</t>
    </r>
  </si>
  <si>
    <t>Öffentlicher-Dienst.Info - Tarifvertrag über eine einmalige Corona-Sonderzahlung (oeffentlicher-dienst.info)</t>
  </si>
  <si>
    <t>Öffentlicher-Dienst.Info - TV-L - Tarifrunde 2019 (oeffentlicher-dienst.info)</t>
  </si>
  <si>
    <t xml:space="preserve">*Alle Angaben ohne Gewähr! Bitte beachten Sie, dass die errechneten Beträge (Plan-Werte) von den tatsächlichen Werten (IST-Werte) abweichen können. </t>
  </si>
  <si>
    <t>*Alle Angaben ohne Gewähr! Bitte beachten Sie, dass die errechneten Beträge (Plan-Werte) von den tatsächlichen Werten (IST-Werte) abweichen können.</t>
  </si>
  <si>
    <r>
      <rPr>
        <vertAlign val="superscript"/>
        <sz val="10"/>
        <rFont val="TheSans UHH"/>
        <family val="2"/>
      </rPr>
      <t>1)</t>
    </r>
    <r>
      <rPr>
        <sz val="10"/>
        <rFont val="TheSans UHH"/>
        <family val="2"/>
      </rPr>
      <t xml:space="preserve"> Stufendauer: Stufe 1 = 1 Jahr, Stufe 2 = 2 Jahre, Stufe 3 = 3 Jahre, Stufe 4 = 4 Jahre, Stufe 5 = 5 Jahre, Stufe 6 = für Immer</t>
    </r>
  </si>
  <si>
    <r>
      <rPr>
        <vertAlign val="superscript"/>
        <sz val="10"/>
        <rFont val="TheSans UHH"/>
        <family val="2"/>
      </rPr>
      <t>2)</t>
    </r>
    <r>
      <rPr>
        <sz val="10"/>
        <rFont val="TheSans UHH"/>
        <family val="2"/>
      </rPr>
      <t xml:space="preserve"> </t>
    </r>
    <r>
      <rPr>
        <b/>
        <sz val="10"/>
        <rFont val="TheSans UHH"/>
        <family val="2"/>
      </rPr>
      <t>JSZ</t>
    </r>
    <r>
      <rPr>
        <sz val="10"/>
        <rFont val="TheSans UHH"/>
        <family val="2"/>
      </rPr>
      <t xml:space="preserve"> erfolgt nur, wenn die Person</t>
    </r>
    <r>
      <rPr>
        <b/>
        <sz val="10"/>
        <rFont val="TheSans UHH"/>
        <family val="2"/>
      </rPr>
      <t xml:space="preserve"> am 1. Dezember beschäftigt</t>
    </r>
    <r>
      <rPr>
        <sz val="10"/>
        <rFont val="TheSans UHH"/>
        <family val="2"/>
      </rPr>
      <t>; E 1 bis E 8 = 95%; E 9 bis E 11 = 80%; E 12 und E 13 = 50%; E 14 und E 15 (Ü) = 35%; E 13 Ü, Stufe 4, 5 und 6 = 35% (Die JSZ wurde für die Jahre 2019 bis 2022 auf dem Niveu von 2018 eingefroren)</t>
    </r>
  </si>
  <si>
    <t xml:space="preserve">mtl. JSZ </t>
  </si>
  <si>
    <t>Minijobgrenze bis 30.09.2022</t>
  </si>
  <si>
    <r>
      <t>ggf. Kalkulation Tariferhöhung</t>
    </r>
    <r>
      <rPr>
        <b/>
        <vertAlign val="superscript"/>
        <sz val="10"/>
        <rFont val="TheSans UHH"/>
        <family val="2"/>
      </rPr>
      <t>1)</t>
    </r>
  </si>
  <si>
    <t xml:space="preserve">Kalkulatorische Tariferhöhung </t>
  </si>
  <si>
    <t>Beitragsberechnung - Sozialversicherungsbeiträge (lohn-info.de)</t>
  </si>
  <si>
    <r>
      <rPr>
        <b/>
        <sz val="10"/>
        <color rgb="FF333333"/>
        <rFont val="TheSans UHH"/>
        <family val="2"/>
      </rPr>
      <t xml:space="preserve">Beitragspflichtige Einnahname Arbeitnehmer: </t>
    </r>
    <r>
      <rPr>
        <sz val="10"/>
        <color rgb="FF333333"/>
        <rFont val="TheSans UHH"/>
        <family val="2"/>
      </rPr>
      <t>(2000/(2000-520)) * (Arbeitsentgelt - 520)</t>
    </r>
  </si>
  <si>
    <r>
      <rPr>
        <b/>
        <sz val="10"/>
        <color rgb="FF333333"/>
        <rFont val="TheSans UHH"/>
        <family val="2"/>
      </rPr>
      <t xml:space="preserve">beitragspflichtigen Einnahme Gesamt: </t>
    </r>
    <r>
      <rPr>
        <sz val="10"/>
        <color rgb="FF333333"/>
        <rFont val="TheSans UHH"/>
        <family val="2"/>
      </rPr>
      <t>F * 520 + ([2000/(2000-520)] - [520/(2000-520)] * F) * (Arbeitsentgelt - 520)</t>
    </r>
  </si>
  <si>
    <t>RV-Beitrag:</t>
  </si>
  <si>
    <r>
      <rPr>
        <b/>
        <sz val="10"/>
        <color theme="1"/>
        <rFont val="TheSans UHH"/>
        <family val="2"/>
      </rPr>
      <t>Berechnung AG-Anteil RV:</t>
    </r>
    <r>
      <rPr>
        <sz val="10"/>
        <color theme="1"/>
        <rFont val="TheSans UHH"/>
        <family val="2"/>
      </rPr>
      <t xml:space="preserve"> (</t>
    </r>
    <r>
      <rPr>
        <sz val="10"/>
        <color rgb="FFFF0000"/>
        <rFont val="TheSans UHH"/>
        <family val="2"/>
      </rPr>
      <t>Faktor F*520</t>
    </r>
    <r>
      <rPr>
        <sz val="10"/>
        <color theme="1"/>
        <rFont val="TheSans UHH"/>
        <family val="2"/>
      </rPr>
      <t>+</t>
    </r>
    <r>
      <rPr>
        <sz val="10"/>
        <color theme="4"/>
        <rFont val="TheSans UHH"/>
        <family val="2"/>
      </rPr>
      <t>(2000/((2000-520))-(520/(2000-520))*Faktor F)</t>
    </r>
    <r>
      <rPr>
        <sz val="10"/>
        <color theme="1"/>
        <rFont val="TheSans UHH"/>
        <family val="2"/>
      </rPr>
      <t>*(Arbeitsentgelt-520))*RV-Beitrag-(</t>
    </r>
    <r>
      <rPr>
        <sz val="10"/>
        <color theme="6"/>
        <rFont val="TheSans UHH"/>
        <family val="2"/>
      </rPr>
      <t>((2000/(2000-520))</t>
    </r>
    <r>
      <rPr>
        <sz val="10"/>
        <color theme="1"/>
        <rFont val="TheSans UHH"/>
        <family val="2"/>
      </rPr>
      <t>*(Arbeitsentgelt-520))*(RV-Beitrag/2))</t>
    </r>
  </si>
  <si>
    <t>HILFZEILE für Berechnung Gleitzone</t>
  </si>
  <si>
    <t>aktuelller F-FAKTOR (siehe Link):</t>
  </si>
  <si>
    <t xml:space="preserve">aktuelle Obergrenze (siehe Link): </t>
  </si>
  <si>
    <t xml:space="preserve">Kalkutorische Erhöhung </t>
  </si>
  <si>
    <r>
      <t>Kalkulatorische Tariferhöhung</t>
    </r>
    <r>
      <rPr>
        <vertAlign val="superscript"/>
        <sz val="10"/>
        <color theme="1"/>
        <rFont val="TheSans UHH"/>
        <family val="2"/>
      </rPr>
      <t>1)</t>
    </r>
  </si>
  <si>
    <t>Minijobgrenze</t>
  </si>
  <si>
    <t>F-Faktor</t>
  </si>
  <si>
    <t xml:space="preserve">Obergrenze Gleitzone </t>
  </si>
  <si>
    <t xml:space="preserve">AG-Anteil ab 01.10.2022 - Berechnung für die Gleitzone (Beispiel) </t>
  </si>
  <si>
    <t xml:space="preserve">Minijobgrenze </t>
  </si>
  <si>
    <t>Monatsstunden</t>
  </si>
  <si>
    <t>Wochenfaktor</t>
  </si>
  <si>
    <t>Zeitberechnungen bei der Lohnabrechnung (lohn-info.de)</t>
  </si>
  <si>
    <t>Berechnung Wochenstunden in Monatsstunden  (SHK/WHK)</t>
  </si>
  <si>
    <t>Wochenstunden</t>
  </si>
  <si>
    <t xml:space="preserve">aktuelles Jahr </t>
  </si>
  <si>
    <t xml:space="preserve">*inkl. Durchschnittl. Zusatzbeitrag 
**Beitragssatz Arbeitnehmer = Beschäftigte mit mindestens 1 Kind oder Kinderlose Beschäftigte bis zur Vollendung des 
23. Lebensjahres </t>
  </si>
  <si>
    <t>aktueller Std. Satz bis Mär.</t>
  </si>
  <si>
    <t xml:space="preserve">aktueller Std. Satz ab Apr. </t>
  </si>
  <si>
    <t>kalk. Erhöhung bis Mär*</t>
  </si>
  <si>
    <t>kalk. Erhöhung ab Apr*</t>
  </si>
  <si>
    <t xml:space="preserve">Hochrechnung für SHK, WHK  und Tutoren:innen </t>
  </si>
  <si>
    <t>SHK/WHK/TUT
(DropDown)</t>
  </si>
  <si>
    <t>Einmalzahlung</t>
  </si>
  <si>
    <t>Akademischer Tutor (ATUT)</t>
  </si>
  <si>
    <t>Studentischer Tutor (STUT)</t>
  </si>
  <si>
    <r>
      <rPr>
        <vertAlign val="superscript"/>
        <sz val="8"/>
        <rFont val="TheSans UHH"/>
        <family val="2"/>
      </rPr>
      <t>1)</t>
    </r>
    <r>
      <rPr>
        <sz val="8"/>
        <rFont val="TheSans UHH"/>
        <family val="2"/>
      </rPr>
      <t xml:space="preserve"> Der derzeitige </t>
    </r>
    <r>
      <rPr>
        <b/>
        <sz val="8"/>
        <rFont val="TheSans UHH"/>
        <family val="2"/>
      </rPr>
      <t>Tarifvertrag gilt bis zum 31.10.2025</t>
    </r>
    <r>
      <rPr>
        <sz val="8"/>
        <rFont val="TheSans UHH"/>
        <family val="2"/>
      </rPr>
      <t xml:space="preserve">! </t>
    </r>
    <r>
      <rPr>
        <b/>
        <sz val="8"/>
        <rFont val="TheSans UHH"/>
        <family val="2"/>
      </rPr>
      <t>Ab dem 01.11.2025</t>
    </r>
    <r>
      <rPr>
        <sz val="8"/>
        <rFont val="TheSans UHH"/>
        <family val="2"/>
      </rPr>
      <t xml:space="preserve"> wird, falls angegeben, mit einer </t>
    </r>
    <r>
      <rPr>
        <b/>
        <sz val="8"/>
        <rFont val="TheSans UHH"/>
        <family val="2"/>
      </rPr>
      <t>jährlichen kalkulatorischen Tariferhöhung</t>
    </r>
    <r>
      <rPr>
        <sz val="8"/>
        <rFont val="TheSans UHH"/>
        <family val="2"/>
      </rPr>
      <t xml:space="preserve"> gerechnet. Vom </t>
    </r>
    <r>
      <rPr>
        <b/>
        <sz val="8"/>
        <rFont val="TheSans UHH"/>
        <family val="2"/>
      </rPr>
      <t>01.11.2025 bis 31.12.2026 mit 5 %</t>
    </r>
    <r>
      <rPr>
        <sz val="8"/>
        <rFont val="TheSans UHH"/>
        <family val="2"/>
      </rPr>
      <t xml:space="preserve"> auf den aktuellen Tarif. Vom </t>
    </r>
    <r>
      <rPr>
        <b/>
        <sz val="8"/>
        <rFont val="TheSans UHH"/>
        <family val="2"/>
      </rPr>
      <t>01.01.2027 bis 31.12.2027 mit 4 %</t>
    </r>
    <r>
      <rPr>
        <sz val="8"/>
        <rFont val="TheSans UHH"/>
        <family val="2"/>
      </rPr>
      <t xml:space="preserve"> p. a. Ab dem Jahr</t>
    </r>
    <r>
      <rPr>
        <b/>
        <sz val="8"/>
        <rFont val="TheSans UHH"/>
        <family val="2"/>
      </rPr>
      <t xml:space="preserve"> 2028 mit 3 %</t>
    </r>
    <r>
      <rPr>
        <sz val="8"/>
        <rFont val="TheSans UHH"/>
        <family val="2"/>
      </rPr>
      <t xml:space="preserve"> p. a. </t>
    </r>
  </si>
  <si>
    <r>
      <t xml:space="preserve">ggf. Kalkulation Tariferhöhung </t>
    </r>
    <r>
      <rPr>
        <b/>
        <vertAlign val="superscript"/>
        <sz val="10"/>
        <rFont val="TheSans UHH"/>
        <family val="2"/>
      </rPr>
      <t>1)</t>
    </r>
  </si>
  <si>
    <t>bis März</t>
  </si>
  <si>
    <t>ab April</t>
  </si>
  <si>
    <t xml:space="preserve">von </t>
  </si>
  <si>
    <t>Finanzierungsart (Landesmittel/ Drittmittel):</t>
  </si>
  <si>
    <t>Finanzierungsart</t>
  </si>
  <si>
    <t>Landesmittel</t>
  </si>
  <si>
    <t>Bitte auswählen</t>
  </si>
  <si>
    <t>Drittmittel</t>
  </si>
  <si>
    <t>*Alle Angaben ohne Gewähr!</t>
  </si>
  <si>
    <r>
      <t xml:space="preserve">Bitte nur die </t>
    </r>
    <r>
      <rPr>
        <b/>
        <sz val="9"/>
        <color theme="5" tint="0.59999389629810485"/>
        <rFont val="TheSans UHH"/>
        <family val="2"/>
      </rPr>
      <t xml:space="preserve">roten Felder (PFLICHTFELDER) </t>
    </r>
    <r>
      <rPr>
        <sz val="9"/>
        <rFont val="TheSans UHH"/>
        <family val="2"/>
      </rPr>
      <t xml:space="preserve">und </t>
    </r>
    <r>
      <rPr>
        <b/>
        <sz val="9"/>
        <color theme="4" tint="0.39997558519241921"/>
        <rFont val="TheSans UHH"/>
        <family val="2"/>
      </rPr>
      <t>die blauen Felder (KANNFELDER)</t>
    </r>
    <r>
      <rPr>
        <sz val="9"/>
        <color theme="4"/>
        <rFont val="TheSans UHH"/>
        <family val="2"/>
      </rPr>
      <t xml:space="preserve"> </t>
    </r>
    <r>
      <rPr>
        <sz val="9"/>
        <rFont val="TheSans UHH"/>
        <family val="2"/>
      </rPr>
      <t xml:space="preserve">ausfüllen! </t>
    </r>
  </si>
  <si>
    <t>Personalkostenhochrechnung (PKHR) für AZA(P) Anträge (z. B. BMBF-Projekte)*</t>
  </si>
  <si>
    <t>Beschäftigungszeitraum (max. 6 Jahre):</t>
  </si>
  <si>
    <t>Erläuterungen zur Personalkostenhochrechnung</t>
  </si>
  <si>
    <r>
      <t>Nächster Stufenaufstieg</t>
    </r>
    <r>
      <rPr>
        <vertAlign val="superscript"/>
        <sz val="11"/>
        <color theme="1"/>
        <rFont val="TheSans UHH"/>
        <family val="2"/>
      </rPr>
      <t>1)</t>
    </r>
    <r>
      <rPr>
        <sz val="11"/>
        <color theme="1"/>
        <rFont val="TheSans UHH"/>
        <family val="2"/>
      </rPr>
      <t xml:space="preserve">: </t>
    </r>
  </si>
  <si>
    <r>
      <t>Kalkulatorische Tariferhöhung</t>
    </r>
    <r>
      <rPr>
        <vertAlign val="superscript"/>
        <sz val="11"/>
        <color theme="1"/>
        <rFont val="TheSans UHH"/>
        <family val="2"/>
      </rPr>
      <t>2)</t>
    </r>
  </si>
  <si>
    <r>
      <t>Kalkulatorische Tariferhöhung</t>
    </r>
    <r>
      <rPr>
        <vertAlign val="superscript"/>
        <sz val="11"/>
        <color theme="1"/>
        <rFont val="TheSans UHH"/>
        <family val="2"/>
      </rPr>
      <t>1)</t>
    </r>
  </si>
  <si>
    <t>Personenanzahl</t>
  </si>
  <si>
    <t>https://www.kus.uni-hamburg.de/themen/personalservice/personaleinstellung
-weiterbeschaeftigung/shk-tutoren-studierende-angestellte.html</t>
  </si>
  <si>
    <t xml:space="preserve">Dieses Blatt kann für Nebenrechnungen genutzt werden. </t>
  </si>
  <si>
    <t>Stellenanteil / Arbeitszeit in %</t>
  </si>
  <si>
    <t>Stellenanteil /Arbeitszeit im Projekt in %:</t>
  </si>
  <si>
    <r>
      <rPr>
        <vertAlign val="superscript"/>
        <sz val="8"/>
        <rFont val="TheSans UHH"/>
        <family val="2"/>
      </rPr>
      <t>1)</t>
    </r>
    <r>
      <rPr>
        <sz val="8"/>
        <rFont val="TheSans UHH"/>
        <family val="2"/>
      </rPr>
      <t xml:space="preserve"> Stufendauer: Stufe 1 = 1 Jahr, Stufe 2 = 2 Jahre, Stufe 3 = 3 Jahre, Stufe 4 = 4 Jahre, Stufe 5 = 5 Jahre, Stufe 6 = endgültig
Die</t>
    </r>
    <r>
      <rPr>
        <b/>
        <sz val="8"/>
        <rFont val="TheSans UHH"/>
        <family val="2"/>
      </rPr>
      <t xml:space="preserve"> Stufenauftstiege</t>
    </r>
    <r>
      <rPr>
        <sz val="8"/>
        <rFont val="TheSans UHH"/>
        <family val="2"/>
      </rPr>
      <t xml:space="preserve"> erfolgen immer </t>
    </r>
    <r>
      <rPr>
        <b/>
        <sz val="8"/>
        <rFont val="TheSans UHH"/>
        <family val="2"/>
      </rPr>
      <t>zum 01.XX.</t>
    </r>
    <r>
      <rPr>
        <sz val="8"/>
        <rFont val="TheSans UHH"/>
        <family val="2"/>
      </rPr>
      <t xml:space="preserve"> (gelten immer für ganzen Monat), auch wenn z. B. der Stufenaufstieg  nach Einstellungsdatum  erst  zum 15.XX. erfolgen müsste! </t>
    </r>
  </si>
  <si>
    <t>Berechnung Stellenanteil / Arbeitszeit von Stunden in Prozent</t>
  </si>
  <si>
    <t xml:space="preserve">Wochenstunden </t>
  </si>
  <si>
    <t>Personalkostenhochrechnung (PKHR) für Tarifpersonal (nicht verbeamtetes Personal)*</t>
  </si>
  <si>
    <t>9b</t>
  </si>
  <si>
    <t>9a</t>
  </si>
  <si>
    <t>15Ü</t>
  </si>
  <si>
    <t>13Ü</t>
  </si>
  <si>
    <t>2Ü</t>
  </si>
  <si>
    <t>Version</t>
  </si>
  <si>
    <t>Datum</t>
  </si>
  <si>
    <t>Veränderungen/Bemerkungen</t>
  </si>
  <si>
    <t>Autor:in</t>
  </si>
  <si>
    <t>Erstversion</t>
  </si>
  <si>
    <t>V01</t>
  </si>
  <si>
    <t>V02</t>
  </si>
  <si>
    <t>Patrick Ungruhe (75 ODC.2)</t>
  </si>
  <si>
    <t>1. Formelfehler behoben Hier: Falsche Berechnung für die Finanzierungsart Landesmittel bei Anteiligem Stellenanteil
2. Entgeltgruppen angepasst Hier: 9k wurde zu 9b und 9 wurde zu 9a
3. Tabellenblatt Änderungshistorie eingefügt
4. Anpassung Kalkulatorische Tariferhöung ab 2027 von 2,2 % auf 3 %</t>
  </si>
  <si>
    <t>Gültigkeit der Tabelle: 01.04.2026 - 28.02.2027</t>
  </si>
  <si>
    <t>01.03.2027 - 31.12.2027</t>
  </si>
  <si>
    <t>01.01.2028 - 31.01.2028?</t>
  </si>
  <si>
    <t>V03</t>
  </si>
  <si>
    <t>Öffentlicher-Dienst.Info - TV-L - Tarifrunde 2025</t>
  </si>
  <si>
    <t>beitragstabelle-2026-data.pdf</t>
  </si>
  <si>
    <t>https://www.lohn-info.de/sozialversicherungsbeitraege2026.html</t>
  </si>
  <si>
    <r>
      <rPr>
        <vertAlign val="superscript"/>
        <sz val="8"/>
        <rFont val="TheSans UHH"/>
        <family val="2"/>
      </rPr>
      <t>2)</t>
    </r>
    <r>
      <rPr>
        <sz val="8"/>
        <rFont val="TheSans UHH"/>
        <family val="2"/>
      </rPr>
      <t xml:space="preserve"> Der derzeitige </t>
    </r>
    <r>
      <rPr>
        <b/>
        <sz val="8"/>
        <rFont val="TheSans UHH"/>
        <family val="2"/>
      </rPr>
      <t>Tarifvertrag gilt bis zum 31.01.2028</t>
    </r>
    <r>
      <rPr>
        <sz val="8"/>
        <rFont val="TheSans UHH"/>
        <family val="2"/>
      </rPr>
      <t xml:space="preserve">! </t>
    </r>
    <r>
      <rPr>
        <b/>
        <sz val="8"/>
        <rFont val="TheSans UHH"/>
        <family val="2"/>
      </rPr>
      <t>Ab dem 01.02.2028</t>
    </r>
    <r>
      <rPr>
        <sz val="8"/>
        <rFont val="TheSans UHH"/>
        <family val="2"/>
      </rPr>
      <t xml:space="preserve"> wird, falls angegeben, mit einer </t>
    </r>
    <r>
      <rPr>
        <b/>
        <sz val="8"/>
        <rFont val="TheSans UHH"/>
        <family val="2"/>
      </rPr>
      <t>jährlichen kalkulatorischen Tariferhöhung  in Höhe von 3 %</t>
    </r>
    <r>
      <rPr>
        <sz val="8"/>
        <rFont val="TheSans UHH"/>
        <family val="2"/>
      </rPr>
      <t xml:space="preserve"> gerechnet.</t>
    </r>
  </si>
  <si>
    <t>Jahr 1</t>
  </si>
  <si>
    <t>Jahr 2</t>
  </si>
  <si>
    <t xml:space="preserve">Jahr 3 </t>
  </si>
  <si>
    <t xml:space="preserve">Jahr 4 </t>
  </si>
  <si>
    <t>Jahr 5</t>
  </si>
  <si>
    <t>Jahr 6</t>
  </si>
  <si>
    <t>HR-DM vs HR LM</t>
  </si>
  <si>
    <t>HR-DM vs HR AZA</t>
  </si>
  <si>
    <t>HR-DM vs HR EU</t>
  </si>
  <si>
    <t>HR-DM vs PKHR_für_Tarifpersonal</t>
  </si>
  <si>
    <r>
      <rPr>
        <vertAlign val="superscript"/>
        <sz val="10"/>
        <rFont val="TheSans UHH"/>
        <family val="2"/>
      </rPr>
      <t>4)</t>
    </r>
    <r>
      <rPr>
        <sz val="10"/>
        <rFont val="TheSans UHH"/>
        <family val="2"/>
      </rPr>
      <t xml:space="preserve"> Die Stufenauftstiege erfolgen immer zum </t>
    </r>
    <r>
      <rPr>
        <b/>
        <sz val="10"/>
        <rFont val="TheSans UHH"/>
        <family val="2"/>
      </rPr>
      <t>01.XX.</t>
    </r>
    <r>
      <rPr>
        <sz val="10"/>
        <rFont val="TheSans UHH"/>
        <family val="2"/>
      </rPr>
      <t xml:space="preserve"> (gelten immer für ganzen Monat), auch wenn z. B. der Stufenaufstieg  nach Einstellungsdatum  erst  zum 15.XX. erfolgen müsste! </t>
    </r>
  </si>
  <si>
    <r>
      <rPr>
        <vertAlign val="superscript"/>
        <sz val="10"/>
        <rFont val="TheSans UHH"/>
        <family val="2"/>
      </rPr>
      <t>3)</t>
    </r>
    <r>
      <rPr>
        <sz val="10"/>
        <rFont val="TheSans UHH"/>
        <family val="2"/>
      </rPr>
      <t xml:space="preserve"> Der derzeitige </t>
    </r>
    <r>
      <rPr>
        <b/>
        <sz val="10"/>
        <rFont val="TheSans UHH"/>
        <family val="2"/>
      </rPr>
      <t>Tarifvertrag gilt bis zum 31.01.2028</t>
    </r>
    <r>
      <rPr>
        <sz val="10"/>
        <rFont val="TheSans UHH"/>
        <family val="2"/>
      </rPr>
      <t xml:space="preserve">! </t>
    </r>
    <r>
      <rPr>
        <b/>
        <sz val="10"/>
        <rFont val="TheSans UHH"/>
        <family val="2"/>
      </rPr>
      <t>Ab dem 01.02.2028</t>
    </r>
    <r>
      <rPr>
        <sz val="10"/>
        <rFont val="TheSans UHH"/>
        <family val="2"/>
      </rPr>
      <t xml:space="preserve"> wird, falls angegeben, mit einer </t>
    </r>
    <r>
      <rPr>
        <b/>
        <sz val="10"/>
        <rFont val="TheSans UHH"/>
        <family val="2"/>
      </rPr>
      <t>jährlichen kalkulatorischen Tariferhöhung  in Höhe von 3 %</t>
    </r>
    <r>
      <rPr>
        <sz val="10"/>
        <rFont val="TheSans UHH"/>
        <family val="2"/>
      </rPr>
      <t xml:space="preserve"> gerechnet.</t>
    </r>
  </si>
  <si>
    <r>
      <t>3)</t>
    </r>
    <r>
      <rPr>
        <sz val="10"/>
        <rFont val="TheSans UHH"/>
        <family val="2"/>
      </rPr>
      <t xml:space="preserve"> Der derzeitige </t>
    </r>
    <r>
      <rPr>
        <b/>
        <sz val="10"/>
        <rFont val="TheSans UHH"/>
        <family val="2"/>
      </rPr>
      <t>Tarifvertrag gilt bis zum 31.01.2028</t>
    </r>
    <r>
      <rPr>
        <sz val="10"/>
        <rFont val="TheSans UHH"/>
        <family val="2"/>
      </rPr>
      <t xml:space="preserve">! </t>
    </r>
    <r>
      <rPr>
        <b/>
        <sz val="10"/>
        <rFont val="TheSans UHH"/>
        <family val="2"/>
      </rPr>
      <t>Ab dem 01.02.2028</t>
    </r>
    <r>
      <rPr>
        <sz val="10"/>
        <rFont val="TheSans UHH"/>
        <family val="2"/>
      </rPr>
      <t xml:space="preserve"> wird, falls angegeben, mit einer </t>
    </r>
    <r>
      <rPr>
        <b/>
        <sz val="10"/>
        <rFont val="TheSans UHH"/>
        <family val="2"/>
      </rPr>
      <t>jährlichen kalkulatorischen Tariferhöhung  in Höhe von 3 %</t>
    </r>
    <r>
      <rPr>
        <sz val="10"/>
        <rFont val="TheSans UHH"/>
        <family val="2"/>
      </rPr>
      <t xml:space="preserve"> gerechnet.</t>
    </r>
  </si>
  <si>
    <r>
      <t xml:space="preserve">1) </t>
    </r>
    <r>
      <rPr>
        <sz val="8"/>
        <color theme="1"/>
        <rFont val="TheSans UHH"/>
        <family val="2"/>
      </rPr>
      <t>A</t>
    </r>
    <r>
      <rPr>
        <b/>
        <sz val="8"/>
        <color theme="1"/>
        <rFont val="TheSans UHH"/>
        <family val="2"/>
      </rPr>
      <t>b dem 01.04.2028</t>
    </r>
    <r>
      <rPr>
        <sz val="8"/>
        <color theme="1"/>
        <rFont val="TheSans UHH"/>
        <family val="2"/>
      </rPr>
      <t xml:space="preserve"> wird mit einer jährlichen kalkualtorischen Tariferhöhung in Höhe von </t>
    </r>
    <r>
      <rPr>
        <b/>
        <sz val="8"/>
        <color theme="1"/>
        <rFont val="TheSans UHH"/>
        <family val="2"/>
      </rPr>
      <t>3 %</t>
    </r>
    <r>
      <rPr>
        <sz val="8"/>
        <color theme="1"/>
        <rFont val="TheSans UHH"/>
        <family val="2"/>
      </rPr>
      <t xml:space="preserve"> gerechnet. </t>
    </r>
  </si>
  <si>
    <t>Personalkostenhochrechnung für SHK/WHK/ TUT*</t>
  </si>
  <si>
    <t>Beitrag zur Landesunfallkasse</t>
  </si>
  <si>
    <t>HR-SHK vs PKHR_SHK_WHK_TUT</t>
  </si>
  <si>
    <t xml:space="preserve">1. Beitragsbemessungrenzen für 2026 gepflegt
2. Tariftabellen gemäß Tarifvertrag gepflegt 
3. Stundensätze SHK gemäß Tarifvertrag + Anpassung WHK analog Prozenterhöhung SHK + TUT um 3 %
4. Mini-Job-Grenze von 556 Euro auf 603 (Jahr 2026) und 633 (Jahr 2027)
5. Änderung F-Faktor (Gleitzeitfaktor) auf 0,6618 (Jahr 2026)
6. Hinweis zum Beitrag für die Landesunfallkasse ergänzt. </t>
  </si>
  <si>
    <r>
      <t xml:space="preserve">1) </t>
    </r>
    <r>
      <rPr>
        <b/>
        <sz val="8"/>
        <color theme="1"/>
        <rFont val="TheSans UHH"/>
        <family val="2"/>
      </rPr>
      <t>Ab dem 01.04.2028</t>
    </r>
    <r>
      <rPr>
        <sz val="8"/>
        <color theme="1"/>
        <rFont val="TheSans UHH"/>
        <family val="2"/>
      </rPr>
      <t xml:space="preserve"> wird mit einer jährlichen kalkulatorischen Tariferhöhung in Höhe von </t>
    </r>
    <r>
      <rPr>
        <b/>
        <sz val="8"/>
        <color theme="1"/>
        <rFont val="TheSans UHH"/>
        <family val="2"/>
      </rPr>
      <t>3 %</t>
    </r>
    <r>
      <rPr>
        <sz val="8"/>
        <color theme="1"/>
        <rFont val="TheSans UHH"/>
        <family val="2"/>
      </rPr>
      <t xml:space="preserve"> gerechnet. </t>
    </r>
  </si>
  <si>
    <t>V04</t>
  </si>
  <si>
    <t>Kontrolle Gesamt</t>
  </si>
  <si>
    <t>Kontrolle AGA</t>
  </si>
  <si>
    <t>Kontrolle VZ</t>
  </si>
  <si>
    <t>Bemerkung</t>
  </si>
  <si>
    <t xml:space="preserve">Hochrechnung </t>
  </si>
  <si>
    <t>Kontrolle LUK</t>
  </si>
  <si>
    <t>Beitragsberechnung im Übergangsbereich (Gleitzone) für 2026</t>
  </si>
  <si>
    <t>Auszug: Schreiben der Finanzbehörde vom 13.04.2026</t>
  </si>
  <si>
    <t>1.  Anpassung Versorgundszuschlag (VZ) bei Landesmittel ab 2027 auf 7 % (vorher 7,5 %)
2. Formelanpassung, wenn der Haken Kalkulatorische Erhöhung nicht gesetzt ist (Betrifft nur das Jahr 2028)
3. Hinweis zur Abweichung PKHR_für_AZA(P) versus PKHR_für_Tarifpersonal eingefügt
4. Formelanpassung Stufenaufstieg: Wenn Stufe 6 ausgewählt ist, dann wird das Datum 31.12.9999 hinterlegt, da kein Stufenaufstieg mehr erfolgen kann. 
5. Der Beitrag für die Landesunfallkasse bleibt unverändert (die Fußnoten entfernt)</t>
  </si>
  <si>
    <t>V05</t>
  </si>
  <si>
    <t>Mobilitätszuschuss (Jobticket)</t>
  </si>
  <si>
    <t>Mobilitätszuschuss</t>
  </si>
  <si>
    <t>Mobilitätszuschuss (Jobticket HVV)</t>
  </si>
  <si>
    <t>MZ</t>
  </si>
  <si>
    <t>Kontrolle Mobilitätszuschuss</t>
  </si>
  <si>
    <t>Kontrolle</t>
  </si>
  <si>
    <t>Kontrolle Brutto</t>
  </si>
  <si>
    <t>manuelle angepasst gerechnet ab 01.07.2028</t>
  </si>
  <si>
    <r>
      <rPr>
        <vertAlign val="superscript"/>
        <sz val="8"/>
        <rFont val="TheSans UHH"/>
        <family val="2"/>
      </rPr>
      <t>2)</t>
    </r>
    <r>
      <rPr>
        <sz val="8"/>
        <rFont val="TheSans UHH"/>
        <family val="2"/>
      </rPr>
      <t xml:space="preserve"> Der derzeitige </t>
    </r>
    <r>
      <rPr>
        <b/>
        <sz val="8"/>
        <rFont val="TheSans UHH"/>
        <family val="2"/>
      </rPr>
      <t>Tarifvertrag gilt bis zum 31.01.2028</t>
    </r>
    <r>
      <rPr>
        <sz val="8"/>
        <rFont val="TheSans UHH"/>
        <family val="2"/>
      </rPr>
      <t xml:space="preserve">! </t>
    </r>
    <r>
      <rPr>
        <b/>
        <sz val="8"/>
        <rFont val="TheSans UHH"/>
        <family val="2"/>
      </rPr>
      <t xml:space="preserve">Ab dem 01.07.2028 bis 31.12.2028 </t>
    </r>
    <r>
      <rPr>
        <sz val="8"/>
        <rFont val="TheSans UHH"/>
        <family val="2"/>
      </rPr>
      <t xml:space="preserve"> wird, falls angegeben, mit einer</t>
    </r>
    <r>
      <rPr>
        <b/>
        <sz val="8"/>
        <rFont val="TheSans UHH"/>
        <family val="2"/>
      </rPr>
      <t xml:space="preserve"> kalkulatorischen Tariferhöhung  in Höhe von 2 %</t>
    </r>
    <r>
      <rPr>
        <sz val="8"/>
        <rFont val="TheSans UHH"/>
        <family val="2"/>
      </rPr>
      <t xml:space="preserve"> gerechnet. Ab </t>
    </r>
    <r>
      <rPr>
        <b/>
        <sz val="8"/>
        <rFont val="TheSans UHH"/>
        <family val="2"/>
      </rPr>
      <t>01.01.2027</t>
    </r>
    <r>
      <rPr>
        <sz val="8"/>
        <rFont val="TheSans UHH"/>
        <family val="2"/>
      </rPr>
      <t xml:space="preserve"> beträgt diese </t>
    </r>
    <r>
      <rPr>
        <b/>
        <sz val="8"/>
        <rFont val="TheSans UHH"/>
        <family val="2"/>
      </rPr>
      <t xml:space="preserve">3 % p. A. </t>
    </r>
  </si>
  <si>
    <t>Auszug aus Präsidiumsbeschluss</t>
  </si>
  <si>
    <t xml:space="preserve">1. Auswahl SHK / TUT / WHK funktioniert nicht mehr. Die Werte für SHK wurden weiterhin hochgerechnet. Bezug angepasst und Fehler behoben. 
2.  Fehler in der Berechnung des Arbeitgeberanteils für Tutor:innen, SHK und WHK, wenn diese mehr als 603 € verdienen.
3. Anpassung der U2-Umlage für SHK / WHK.  
4. Anpassung der SWS-Sätze für studentische Tutor:innen.  
5. Kalkulatorische Erhöhung für das Jahr 2028 angepasst. Ab Februar wird nun mit 2 % Erhöhung gerechnet
6. Mobilitätszuschuss eingefügt. DAfür fällt die Spalte Einmalzahlung zunächst weg
</t>
  </si>
  <si>
    <t>V06</t>
  </si>
  <si>
    <t xml:space="preserve">1. Anpassung Sätze für Wissenschaftlich Hilfskräfte und Akademische Tutoren (Mail vom 02.06.2026) und Hinweisfeld enternt </t>
  </si>
  <si>
    <t>Stand: 03.06.2026 (BITTE AKTUELLE VERSION NUTZEN - ZURZEIT VERSION V06)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</si>
</sst>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 #,##0.00\ &quot;€&quot;_-;\-* #,##0.00\ &quot;€&quot;_-;_-* &quot;-&quot;??\ &quot;€&quot;_-;_-@_-"/>
    <numFmt numFmtId="164" formatCode="_-* #,##0.00\ [$€-407]_-;\-* #,##0.00\ [$€-407]_-;_-* &quot;-&quot;??\ [$€-407]_-;_-@_-"/>
    <numFmt numFmtId="165" formatCode="#,##0.00_ ;\-#,##0.00\ "/>
    <numFmt numFmtId="166" formatCode="&quot;Jahr&quot;\ 0000"/>
    <numFmt numFmtId="167" formatCode="0.000%"/>
    <numFmt numFmtId="168" formatCode="dd/mm/yy;@"/>
    <numFmt numFmtId="169" formatCode="0000"/>
    <numFmt numFmtId="170" formatCode="0.0"/>
    <numFmt numFmtId="171" formatCode="0.00000"/>
    <numFmt numFmtId="172" formatCode="#,##0.000_ ;\-#,##0.000\ "/>
    <numFmt numFmtId="173" formatCode="_-* #,##0.000\ &quot;€&quot;_-;\-* #,##0.000\ &quot;€&quot;_-;_-* &quot;-&quot;??\ &quot;€&quot;_-;_-@_-"/>
    <numFmt numFmtId="174" formatCode="#,##0.0000_ ;\-#,##0.0000\ "/>
    <numFmt numFmtId="175" formatCode="0.0000"/>
  </numFmts>
  <fonts count="132" x14ac:knownFonts="1">
    <font>
      <sz val="11"/>
      <color theme="1"/>
      <name val="Calibri"/>
      <family val="2"/>
      <scheme val="minor"/>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sz val="11"/>
      <color theme="1"/>
      <name val="TheSans UHH"/>
      <family val="2"/>
    </font>
    <font>
      <b/>
      <sz val="11"/>
      <color theme="1"/>
      <name val="Calibri"/>
      <family val="2"/>
      <scheme val="minor"/>
    </font>
    <font>
      <sz val="10"/>
      <name val="Arial"/>
      <family val="2"/>
    </font>
    <font>
      <sz val="11"/>
      <color theme="1"/>
      <name val="Calibri"/>
      <family val="2"/>
      <scheme val="minor"/>
    </font>
    <font>
      <b/>
      <u/>
      <sz val="11"/>
      <color theme="1"/>
      <name val="Calibri"/>
      <family val="2"/>
      <scheme val="minor"/>
    </font>
    <font>
      <sz val="11"/>
      <color theme="0"/>
      <name val="Calibri"/>
      <family val="2"/>
      <scheme val="minor"/>
    </font>
    <font>
      <b/>
      <sz val="11"/>
      <color rgb="FF3F3F3F"/>
      <name val="Calibri"/>
      <family val="2"/>
      <scheme val="minor"/>
    </font>
    <font>
      <b/>
      <sz val="11"/>
      <color rgb="FFFA7D00"/>
      <name val="Calibri"/>
      <family val="2"/>
      <scheme val="minor"/>
    </font>
    <font>
      <sz val="11"/>
      <color rgb="FF3F3F76"/>
      <name val="Calibri"/>
      <family val="2"/>
      <scheme val="minor"/>
    </font>
    <font>
      <i/>
      <sz val="11"/>
      <color rgb="FF7F7F7F"/>
      <name val="Calibri"/>
      <family val="2"/>
      <scheme val="minor"/>
    </font>
    <font>
      <sz val="11"/>
      <color rgb="FF006100"/>
      <name val="Calibri"/>
      <family val="2"/>
      <scheme val="minor"/>
    </font>
    <font>
      <sz val="11"/>
      <color rgb="FF9C6500"/>
      <name val="Calibri"/>
      <family val="2"/>
      <scheme val="minor"/>
    </font>
    <font>
      <sz val="11"/>
      <color rgb="FF9C0006"/>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rgb="FFFF0000"/>
      <name val="Calibri"/>
      <family val="2"/>
      <scheme val="minor"/>
    </font>
    <font>
      <b/>
      <sz val="11"/>
      <color theme="0"/>
      <name val="Calibri"/>
      <family val="2"/>
      <scheme val="minor"/>
    </font>
    <font>
      <sz val="9"/>
      <color theme="1"/>
      <name val="Trebuchet MS"/>
      <family val="2"/>
    </font>
    <font>
      <b/>
      <sz val="9"/>
      <color rgb="FFFFFFFF"/>
      <name val="Trebuchet MS"/>
      <family val="2"/>
    </font>
    <font>
      <sz val="9"/>
      <color indexed="81"/>
      <name val="Tahoma"/>
      <family val="2"/>
    </font>
    <font>
      <b/>
      <sz val="9"/>
      <color indexed="81"/>
      <name val="Tahoma"/>
      <family val="2"/>
    </font>
    <font>
      <b/>
      <sz val="9"/>
      <color theme="1"/>
      <name val="Trebuchet MS"/>
      <family val="2"/>
    </font>
    <font>
      <b/>
      <sz val="11"/>
      <color theme="1"/>
      <name val="TheSans UHH"/>
      <family val="2"/>
    </font>
    <font>
      <b/>
      <sz val="12"/>
      <color theme="1"/>
      <name val="TheSans UHH"/>
      <family val="2"/>
    </font>
    <font>
      <sz val="18"/>
      <color theme="1"/>
      <name val="Calibri"/>
      <family val="2"/>
      <scheme val="minor"/>
    </font>
    <font>
      <b/>
      <sz val="18"/>
      <color theme="1"/>
      <name val="Calibri"/>
      <family val="2"/>
      <scheme val="minor"/>
    </font>
    <font>
      <b/>
      <sz val="16"/>
      <color indexed="81"/>
      <name val="Tahoma"/>
      <family val="2"/>
    </font>
    <font>
      <sz val="14"/>
      <color indexed="81"/>
      <name val="Tahoma"/>
      <family val="2"/>
    </font>
    <font>
      <b/>
      <sz val="10"/>
      <color theme="1"/>
      <name val="Calibri"/>
      <family val="2"/>
      <scheme val="minor"/>
    </font>
    <font>
      <b/>
      <sz val="20"/>
      <name val="TheSans UHH"/>
      <family val="2"/>
    </font>
    <font>
      <b/>
      <sz val="18"/>
      <name val="TheSans UHH"/>
      <family val="2"/>
    </font>
    <font>
      <b/>
      <sz val="20"/>
      <color theme="1"/>
      <name val="TheSans UHH"/>
      <family val="2"/>
    </font>
    <font>
      <b/>
      <sz val="14"/>
      <name val="TheSans UHH"/>
      <family val="2"/>
    </font>
    <font>
      <b/>
      <sz val="10"/>
      <color theme="1"/>
      <name val="TheSans UHH"/>
      <family val="2"/>
    </font>
    <font>
      <b/>
      <sz val="14"/>
      <color theme="1"/>
      <name val="TheSans UHH"/>
      <family val="2"/>
    </font>
    <font>
      <b/>
      <sz val="10"/>
      <name val="TheSans UHH"/>
      <family val="2"/>
    </font>
    <font>
      <b/>
      <sz val="12"/>
      <color rgb="FFFF0000"/>
      <name val="TheSans UHH"/>
      <family val="2"/>
    </font>
    <font>
      <b/>
      <sz val="11"/>
      <name val="TheSans UHH"/>
      <family val="2"/>
    </font>
    <font>
      <sz val="12"/>
      <color theme="1"/>
      <name val="TheSans UHH"/>
      <family val="2"/>
    </font>
    <font>
      <b/>
      <sz val="10"/>
      <color theme="0"/>
      <name val="TheSans UHH"/>
      <family val="2"/>
    </font>
    <font>
      <sz val="10"/>
      <color theme="1"/>
      <name val="TheSans UHH"/>
      <family val="2"/>
    </font>
    <font>
      <sz val="8"/>
      <color theme="1"/>
      <name val="Calibri"/>
      <family val="2"/>
      <scheme val="minor"/>
    </font>
    <font>
      <b/>
      <sz val="12"/>
      <name val="TheSans UHH"/>
      <family val="2"/>
    </font>
    <font>
      <u/>
      <sz val="11"/>
      <color theme="10"/>
      <name val="Calibri"/>
      <family val="2"/>
      <scheme val="minor"/>
    </font>
    <font>
      <b/>
      <u/>
      <sz val="11"/>
      <color theme="1"/>
      <name val="TheSans UHH"/>
      <family val="2"/>
    </font>
    <font>
      <u/>
      <sz val="11"/>
      <color theme="10"/>
      <name val="TheSans UHH"/>
      <family val="2"/>
    </font>
    <font>
      <b/>
      <sz val="11"/>
      <color rgb="FFFFFFFF"/>
      <name val="TheSans UHH"/>
      <family val="2"/>
    </font>
    <font>
      <u/>
      <sz val="9"/>
      <color theme="10"/>
      <name val="Calibri"/>
      <family val="2"/>
      <scheme val="minor"/>
    </font>
    <font>
      <b/>
      <u/>
      <sz val="12"/>
      <color theme="1"/>
      <name val="TheSans UHH"/>
      <family val="2"/>
    </font>
    <font>
      <b/>
      <sz val="12"/>
      <color rgb="FFFFFFFF"/>
      <name val="TheSans UHH"/>
      <family val="2"/>
    </font>
    <font>
      <sz val="10"/>
      <color theme="1"/>
      <name val="Calibri"/>
      <family val="2"/>
      <scheme val="minor"/>
    </font>
    <font>
      <sz val="10"/>
      <name val="TheSans UHH"/>
      <family val="2"/>
    </font>
    <font>
      <b/>
      <sz val="10"/>
      <color rgb="FFFF0000"/>
      <name val="TheSans UHH"/>
      <family val="2"/>
    </font>
    <font>
      <b/>
      <sz val="8"/>
      <color rgb="FFFF0000"/>
      <name val="TheSans UHH"/>
      <family val="2"/>
    </font>
    <font>
      <sz val="9"/>
      <color indexed="81"/>
      <name val="Segoe UI"/>
      <family val="2"/>
    </font>
    <font>
      <b/>
      <sz val="9"/>
      <color indexed="81"/>
      <name val="Segoe UI"/>
      <family val="2"/>
    </font>
    <font>
      <b/>
      <u/>
      <sz val="22"/>
      <color theme="1"/>
      <name val="TheSans UHH"/>
      <family val="2"/>
    </font>
    <font>
      <sz val="12"/>
      <name val="TheSans UHH"/>
      <family val="2"/>
    </font>
    <font>
      <b/>
      <sz val="8"/>
      <color theme="1"/>
      <name val="TheSans UHH"/>
      <family val="2"/>
    </font>
    <font>
      <b/>
      <u/>
      <sz val="12"/>
      <name val="TheSans UHH"/>
      <family val="2"/>
    </font>
    <font>
      <b/>
      <sz val="10"/>
      <color rgb="FFFF0000"/>
      <name val="Calibri"/>
      <family val="2"/>
      <scheme val="minor"/>
    </font>
    <font>
      <b/>
      <u/>
      <sz val="22"/>
      <name val="TheSans UHH"/>
      <family val="2"/>
    </font>
    <font>
      <b/>
      <sz val="12"/>
      <color theme="4" tint="-0.249977111117893"/>
      <name val="TheSans UHH"/>
      <family val="2"/>
    </font>
    <font>
      <b/>
      <sz val="14"/>
      <color theme="5" tint="0.59999389629810485"/>
      <name val="TheSans UHH"/>
      <family val="2"/>
    </font>
    <font>
      <sz val="8"/>
      <color rgb="FF000000"/>
      <name val="Tahoma"/>
      <family val="2"/>
    </font>
    <font>
      <sz val="10"/>
      <color theme="4"/>
      <name val="TheSans UHH"/>
      <family val="2"/>
    </font>
    <font>
      <b/>
      <sz val="10"/>
      <color theme="5" tint="0.59999389629810485"/>
      <name val="TheSans UHH"/>
      <family val="2"/>
    </font>
    <font>
      <b/>
      <sz val="14"/>
      <color theme="4" tint="0.39997558519241921"/>
      <name val="TheSans UHH"/>
      <family val="2"/>
    </font>
    <font>
      <b/>
      <sz val="9"/>
      <color indexed="81"/>
      <name val="TheSans UHH"/>
      <family val="2"/>
    </font>
    <font>
      <sz val="9"/>
      <color indexed="81"/>
      <name val="TheSans UHH"/>
      <family val="2"/>
    </font>
    <font>
      <b/>
      <sz val="11"/>
      <color indexed="81"/>
      <name val="TheSans UHH"/>
      <family val="2"/>
    </font>
    <font>
      <sz val="11"/>
      <name val="Calibri"/>
      <family val="2"/>
      <scheme val="minor"/>
    </font>
    <font>
      <b/>
      <sz val="11"/>
      <name val="Calibri"/>
      <family val="2"/>
      <scheme val="minor"/>
    </font>
    <font>
      <b/>
      <sz val="9"/>
      <name val="Trebuchet MS"/>
      <family val="2"/>
    </font>
    <font>
      <sz val="9"/>
      <name val="Trebuchet MS"/>
      <family val="2"/>
    </font>
    <font>
      <vertAlign val="superscript"/>
      <sz val="10"/>
      <color theme="1"/>
      <name val="TheSans UHH"/>
      <family val="2"/>
    </font>
    <font>
      <vertAlign val="superscript"/>
      <sz val="8"/>
      <color theme="1"/>
      <name val="TheSans UHH"/>
      <family val="2"/>
    </font>
    <font>
      <sz val="8"/>
      <color theme="1"/>
      <name val="TheSans UHH"/>
      <family val="2"/>
    </font>
    <font>
      <b/>
      <vertAlign val="superscript"/>
      <sz val="10"/>
      <name val="TheSans UHH"/>
      <family val="2"/>
    </font>
    <font>
      <vertAlign val="superscript"/>
      <sz val="10"/>
      <name val="TheSans UHH"/>
      <family val="2"/>
    </font>
    <font>
      <b/>
      <vertAlign val="superscript"/>
      <sz val="10"/>
      <color theme="1"/>
      <name val="TheSans UHH"/>
      <family val="2"/>
    </font>
    <font>
      <b/>
      <u/>
      <sz val="14"/>
      <name val="TheSans UHH"/>
      <family val="2"/>
    </font>
    <font>
      <sz val="11"/>
      <color rgb="FFFF0000"/>
      <name val="TheSans UHH"/>
      <family val="2"/>
    </font>
    <font>
      <sz val="10"/>
      <color rgb="FF333333"/>
      <name val="TheSans UHH"/>
      <family val="2"/>
    </font>
    <font>
      <b/>
      <sz val="10"/>
      <color rgb="FF333333"/>
      <name val="TheSans UHH"/>
      <family val="2"/>
    </font>
    <font>
      <sz val="10"/>
      <color rgb="FFFF0000"/>
      <name val="TheSans UHH"/>
      <family val="2"/>
    </font>
    <font>
      <sz val="11"/>
      <color theme="4"/>
      <name val="TheSans UHH"/>
      <family val="2"/>
    </font>
    <font>
      <sz val="11"/>
      <color theme="6"/>
      <name val="TheSans UHH"/>
      <family val="2"/>
    </font>
    <font>
      <sz val="10"/>
      <color theme="6"/>
      <name val="TheSans UHH"/>
      <family val="2"/>
    </font>
    <font>
      <sz val="8"/>
      <name val="TheSans UHH"/>
      <family val="2"/>
    </font>
    <font>
      <vertAlign val="superscript"/>
      <sz val="8"/>
      <name val="TheSans UHH"/>
      <family val="2"/>
    </font>
    <font>
      <b/>
      <sz val="8"/>
      <name val="TheSans UHH"/>
      <family val="2"/>
    </font>
    <font>
      <sz val="12"/>
      <color rgb="FF000070"/>
      <name val="Arial"/>
      <family val="2"/>
    </font>
    <font>
      <b/>
      <u/>
      <sz val="11"/>
      <color indexed="81"/>
      <name val="TheSans UHH"/>
      <family val="2"/>
    </font>
    <font>
      <u/>
      <sz val="9"/>
      <color indexed="81"/>
      <name val="TheSans UHH"/>
      <family val="2"/>
    </font>
    <font>
      <sz val="9"/>
      <name val="TheSans UHH"/>
      <family val="2"/>
    </font>
    <font>
      <b/>
      <sz val="9"/>
      <color theme="5" tint="0.59999389629810485"/>
      <name val="TheSans UHH"/>
      <family val="2"/>
    </font>
    <font>
      <b/>
      <sz val="9"/>
      <color theme="4" tint="0.39997558519241921"/>
      <name val="TheSans UHH"/>
      <family val="2"/>
    </font>
    <font>
      <sz val="9"/>
      <color theme="4"/>
      <name val="TheSans UHH"/>
      <family val="2"/>
    </font>
    <font>
      <b/>
      <u/>
      <sz val="18"/>
      <color theme="1"/>
      <name val="TheSans UHH"/>
      <family val="2"/>
    </font>
    <font>
      <b/>
      <u/>
      <sz val="14"/>
      <color theme="1"/>
      <name val="TheSans UHH"/>
      <family val="2"/>
    </font>
    <font>
      <sz val="11"/>
      <name val="TheSans UHH"/>
      <family val="2"/>
    </font>
    <font>
      <vertAlign val="superscript"/>
      <sz val="11"/>
      <color theme="1"/>
      <name val="TheSans UHH"/>
      <family val="2"/>
    </font>
    <font>
      <sz val="12"/>
      <name val="Calibri"/>
      <family val="2"/>
      <scheme val="minor"/>
    </font>
    <font>
      <sz val="12"/>
      <color theme="1"/>
      <name val="Calibri"/>
      <family val="2"/>
      <scheme val="minor"/>
    </font>
    <font>
      <b/>
      <sz val="12"/>
      <color theme="1"/>
      <name val="Calibri"/>
      <family val="2"/>
      <scheme val="minor"/>
    </font>
    <font>
      <b/>
      <sz val="18"/>
      <color theme="1"/>
      <name val="TheSans UHH"/>
      <family val="2"/>
    </font>
    <font>
      <b/>
      <u/>
      <sz val="14"/>
      <color theme="1"/>
      <name val="Calibri"/>
      <family val="2"/>
      <scheme val="minor"/>
    </font>
    <font>
      <sz val="11"/>
      <color rgb="FF000000"/>
      <name val="Arial"/>
      <family val="2"/>
    </font>
  </fonts>
  <fills count="59">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rgb="FFFFFFCC"/>
        <bgColor indexed="64"/>
      </patternFill>
    </fill>
    <fill>
      <patternFill patternType="solid">
        <fgColor theme="7" tint="0.59999389629810485"/>
        <bgColor indexed="64"/>
      </patternFill>
    </fill>
    <fill>
      <patternFill patternType="solid">
        <fgColor rgb="FF95E7B6"/>
        <bgColor indexed="64"/>
      </patternFill>
    </fill>
    <fill>
      <patternFill patternType="solid">
        <fgColor indexed="47"/>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6F6F6"/>
        <bgColor indexed="64"/>
      </patternFill>
    </fill>
    <fill>
      <patternFill patternType="solid">
        <fgColor rgb="FF7FEF9A"/>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theme="6"/>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FF00"/>
        <bgColor indexed="64"/>
      </patternFill>
    </fill>
  </fills>
  <borders count="10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C0C0C0"/>
      </left>
      <right/>
      <top style="medium">
        <color rgb="FFC0C0C0"/>
      </top>
      <bottom/>
      <diagonal/>
    </border>
    <border>
      <left/>
      <right style="medium">
        <color rgb="FFC0C0C0"/>
      </right>
      <top/>
      <bottom style="medium">
        <color rgb="FFC0C0C0"/>
      </bottom>
      <diagonal/>
    </border>
    <border>
      <left style="medium">
        <color rgb="FFC0C0C0"/>
      </left>
      <right style="medium">
        <color rgb="FFC0C0C0"/>
      </right>
      <top/>
      <bottom style="medium">
        <color rgb="FFC0C0C0"/>
      </bottom>
      <diagonal/>
    </border>
    <border>
      <left style="medium">
        <color rgb="FFC0C0C0"/>
      </left>
      <right style="medium">
        <color rgb="FFC0C0C0"/>
      </right>
      <top style="medium">
        <color rgb="FFC0C0C0"/>
      </top>
      <bottom style="medium">
        <color rgb="FFC0C0C0"/>
      </bottom>
      <diagonal/>
    </border>
    <border>
      <left/>
      <right style="medium">
        <color rgb="FFC0C0C0"/>
      </right>
      <top style="medium">
        <color rgb="FFC0C0C0"/>
      </top>
      <bottom style="medium">
        <color rgb="FFC0C0C0"/>
      </bottom>
      <diagonal/>
    </border>
    <border>
      <left style="medium">
        <color rgb="FFC0C0C0"/>
      </left>
      <right style="medium">
        <color rgb="FFC0C0C0"/>
      </right>
      <top style="medium">
        <color rgb="FFC0C0C0"/>
      </top>
      <bottom/>
      <diagonal/>
    </border>
    <border>
      <left style="medium">
        <color rgb="FFC0C0C0"/>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auto="1"/>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auto="1"/>
      </left>
      <right style="thin">
        <color auto="1"/>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theme="0"/>
      </bottom>
      <diagonal/>
    </border>
    <border>
      <left/>
      <right style="medium">
        <color indexed="64"/>
      </right>
      <top/>
      <bottom style="medium">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right/>
      <top style="medium">
        <color theme="0"/>
      </top>
      <bottom style="medium">
        <color indexed="64"/>
      </bottom>
      <diagonal/>
    </border>
    <border>
      <left/>
      <right/>
      <top style="thin">
        <color theme="0"/>
      </top>
      <bottom style="medium">
        <color theme="0"/>
      </bottom>
      <diagonal/>
    </border>
    <border>
      <left/>
      <right style="medium">
        <color indexed="64"/>
      </right>
      <top style="thin">
        <color theme="0"/>
      </top>
      <bottom style="medium">
        <color theme="0"/>
      </bottom>
      <diagonal/>
    </border>
    <border>
      <left style="medium">
        <color indexed="64"/>
      </left>
      <right/>
      <top style="thin">
        <color indexed="64"/>
      </top>
      <bottom style="medium">
        <color indexed="64"/>
      </bottom>
      <diagonal/>
    </border>
    <border>
      <left style="medium">
        <color indexed="64"/>
      </left>
      <right style="medium">
        <color theme="0"/>
      </right>
      <top style="medium">
        <color indexed="64"/>
      </top>
      <bottom style="medium">
        <color theme="0"/>
      </bottom>
      <diagonal/>
    </border>
    <border>
      <left style="medium">
        <color theme="0"/>
      </left>
      <right style="medium">
        <color theme="0"/>
      </right>
      <top style="medium">
        <color indexed="64"/>
      </top>
      <bottom style="medium">
        <color theme="0"/>
      </bottom>
      <diagonal/>
    </border>
    <border>
      <left style="medium">
        <color theme="0"/>
      </left>
      <right style="medium">
        <color indexed="64"/>
      </right>
      <top style="medium">
        <color indexed="64"/>
      </top>
      <bottom style="medium">
        <color theme="0"/>
      </bottom>
      <diagonal/>
    </border>
    <border>
      <left style="medium">
        <color indexed="64"/>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style="medium">
        <color theme="0"/>
      </left>
      <right style="medium">
        <color indexed="64"/>
      </right>
      <top style="medium">
        <color theme="0"/>
      </top>
      <bottom style="medium">
        <color indexed="64"/>
      </bottom>
      <diagonal/>
    </border>
    <border>
      <left style="medium">
        <color theme="0"/>
      </left>
      <right/>
      <top style="medium">
        <color indexed="64"/>
      </top>
      <bottom style="medium">
        <color theme="0"/>
      </bottom>
      <diagonal/>
    </border>
    <border>
      <left/>
      <right style="medium">
        <color theme="0"/>
      </right>
      <top style="medium">
        <color indexed="64"/>
      </top>
      <bottom style="medium">
        <color theme="0"/>
      </bottom>
      <diagonal/>
    </border>
    <border>
      <left style="medium">
        <color theme="0"/>
      </left>
      <right/>
      <top style="medium">
        <color theme="0"/>
      </top>
      <bottom style="medium">
        <color indexed="64"/>
      </bottom>
      <diagonal/>
    </border>
    <border>
      <left/>
      <right style="medium">
        <color theme="0"/>
      </right>
      <top style="medium">
        <color theme="0"/>
      </top>
      <bottom style="medium">
        <color indexed="64"/>
      </bottom>
      <diagonal/>
    </border>
    <border>
      <left/>
      <right style="thin">
        <color auto="1"/>
      </right>
      <top style="medium">
        <color indexed="64"/>
      </top>
      <bottom style="thin">
        <color auto="1"/>
      </bottom>
      <diagonal/>
    </border>
    <border>
      <left/>
      <right style="thin">
        <color indexed="64"/>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right/>
      <top style="thin">
        <color indexed="64"/>
      </top>
      <bottom style="medium">
        <color indexed="64"/>
      </bottom>
      <diagonal/>
    </border>
    <border>
      <left style="medium">
        <color theme="0"/>
      </left>
      <right style="medium">
        <color indexed="64"/>
      </right>
      <top/>
      <bottom style="medium">
        <color theme="0"/>
      </bottom>
      <diagonal/>
    </border>
    <border>
      <left style="medium">
        <color theme="0"/>
      </left>
      <right style="medium">
        <color indexed="64"/>
      </right>
      <top style="medium">
        <color theme="0"/>
      </top>
      <bottom/>
      <diagonal/>
    </border>
    <border>
      <left/>
      <right/>
      <top style="medium">
        <color indexed="64"/>
      </top>
      <bottom style="medium">
        <color theme="0"/>
      </bottom>
      <diagonal/>
    </border>
    <border>
      <left style="medium">
        <color indexed="64"/>
      </left>
      <right/>
      <top style="medium">
        <color theme="0"/>
      </top>
      <bottom style="medium">
        <color indexed="64"/>
      </bottom>
      <diagonal/>
    </border>
    <border>
      <left/>
      <right style="medium">
        <color indexed="64"/>
      </right>
      <top style="medium">
        <color theme="0"/>
      </top>
      <bottom style="medium">
        <color indexed="64"/>
      </bottom>
      <diagonal/>
    </border>
    <border>
      <left/>
      <right/>
      <top style="medium">
        <color theme="0" tint="-0.34998626667073579"/>
      </top>
      <bottom style="medium">
        <color theme="0" tint="-0.34998626667073579"/>
      </bottom>
      <diagonal/>
    </border>
    <border>
      <left/>
      <right/>
      <top style="medium">
        <color theme="0" tint="-0.34998626667073579"/>
      </top>
      <bottom style="medium">
        <color rgb="FFC0C0C0"/>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style="medium">
        <color theme="0" tint="-0.34998626667073579"/>
      </left>
      <right/>
      <top style="medium">
        <color theme="0" tint="-0.34998626667073579"/>
      </top>
      <bottom style="medium">
        <color rgb="FFC0C0C0"/>
      </bottom>
      <diagonal/>
    </border>
    <border>
      <left style="medium">
        <color theme="0" tint="-0.34998626667073579"/>
      </left>
      <right style="medium">
        <color theme="0" tint="-0.34998626667073579"/>
      </right>
      <top style="medium">
        <color theme="0" tint="-0.34998626667073579"/>
      </top>
      <bottom style="medium">
        <color rgb="FFC0C0C0"/>
      </bottom>
      <diagonal/>
    </border>
    <border>
      <left/>
      <right style="medium">
        <color theme="0" tint="-0.34998626667073579"/>
      </right>
      <top style="medium">
        <color theme="0" tint="-0.34998626667073579"/>
      </top>
      <bottom/>
      <diagonal/>
    </border>
    <border>
      <left style="medium">
        <color indexed="64"/>
      </left>
      <right style="medium">
        <color indexed="64"/>
      </right>
      <top style="medium">
        <color indexed="64"/>
      </top>
      <bottom style="medium">
        <color theme="0"/>
      </bottom>
      <diagonal/>
    </border>
    <border>
      <left style="medium">
        <color indexed="64"/>
      </left>
      <right style="medium">
        <color indexed="64"/>
      </right>
      <top style="medium">
        <color theme="0"/>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theme="0"/>
      </left>
      <right style="medium">
        <color theme="0"/>
      </right>
      <top/>
      <bottom style="medium">
        <color theme="0"/>
      </bottom>
      <diagonal/>
    </border>
    <border>
      <left/>
      <right/>
      <top style="medium">
        <color theme="0"/>
      </top>
      <bottom/>
      <diagonal/>
    </border>
    <border>
      <left/>
      <right style="medium">
        <color indexed="64"/>
      </right>
      <top style="medium">
        <color theme="0"/>
      </top>
      <bottom/>
      <diagonal/>
    </border>
    <border>
      <left style="thin">
        <color auto="1"/>
      </left>
      <right/>
      <top style="medium">
        <color indexed="64"/>
      </top>
      <bottom/>
      <diagonal/>
    </border>
    <border>
      <left style="thin">
        <color indexed="64"/>
      </left>
      <right/>
      <top/>
      <bottom style="medium">
        <color indexed="64"/>
      </bottom>
      <diagonal/>
    </border>
  </borders>
  <cellStyleXfs count="54">
    <xf numFmtId="0" fontId="0" fillId="0" borderId="0"/>
    <xf numFmtId="0" fontId="23" fillId="0" borderId="0"/>
    <xf numFmtId="44" fontId="24" fillId="0" borderId="0" applyFont="0" applyFill="0" applyBorder="0" applyAlignment="0" applyProtection="0"/>
    <xf numFmtId="0" fontId="24" fillId="0" borderId="0"/>
    <xf numFmtId="0" fontId="21" fillId="0" borderId="0"/>
    <xf numFmtId="0" fontId="24" fillId="20" borderId="0" applyNumberFormat="0" applyBorder="0" applyAlignment="0" applyProtection="0"/>
    <xf numFmtId="0" fontId="24" fillId="24" borderId="0" applyNumberFormat="0" applyBorder="0" applyAlignment="0" applyProtection="0"/>
    <xf numFmtId="0" fontId="24" fillId="28" borderId="0" applyNumberFormat="0" applyBorder="0" applyAlignment="0" applyProtection="0"/>
    <xf numFmtId="0" fontId="24" fillId="32" borderId="0" applyNumberFormat="0" applyBorder="0" applyAlignment="0" applyProtection="0"/>
    <xf numFmtId="0" fontId="24" fillId="36" borderId="0" applyNumberFormat="0" applyBorder="0" applyAlignment="0" applyProtection="0"/>
    <xf numFmtId="0" fontId="24" fillId="40"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37" borderId="0" applyNumberFormat="0" applyBorder="0" applyAlignment="0" applyProtection="0"/>
    <xf numFmtId="0" fontId="24" fillId="41" borderId="0" applyNumberFormat="0" applyBorder="0" applyAlignment="0" applyProtection="0"/>
    <xf numFmtId="0" fontId="26" fillId="22" borderId="0" applyNumberFormat="0" applyBorder="0" applyAlignment="0" applyProtection="0"/>
    <xf numFmtId="0" fontId="26" fillId="26" borderId="0" applyNumberFormat="0" applyBorder="0" applyAlignment="0" applyProtection="0"/>
    <xf numFmtId="0" fontId="26" fillId="30" borderId="0" applyNumberFormat="0" applyBorder="0" applyAlignment="0" applyProtection="0"/>
    <xf numFmtId="0" fontId="26" fillId="34" borderId="0" applyNumberFormat="0" applyBorder="0" applyAlignment="0" applyProtection="0"/>
    <xf numFmtId="0" fontId="26" fillId="38" borderId="0" applyNumberFormat="0" applyBorder="0" applyAlignment="0" applyProtection="0"/>
    <xf numFmtId="0" fontId="26" fillId="42" borderId="0" applyNumberFormat="0" applyBorder="0" applyAlignment="0" applyProtection="0"/>
    <xf numFmtId="0" fontId="26" fillId="19"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31" borderId="0" applyNumberFormat="0" applyBorder="0" applyAlignment="0" applyProtection="0"/>
    <xf numFmtId="0" fontId="26" fillId="35" borderId="0" applyNumberFormat="0" applyBorder="0" applyAlignment="0" applyProtection="0"/>
    <xf numFmtId="0" fontId="26" fillId="39" borderId="0" applyNumberFormat="0" applyBorder="0" applyAlignment="0" applyProtection="0"/>
    <xf numFmtId="0" fontId="27" fillId="16" borderId="21" applyNumberFormat="0" applyAlignment="0" applyProtection="0"/>
    <xf numFmtId="0" fontId="28" fillId="16" borderId="20" applyNumberFormat="0" applyAlignment="0" applyProtection="0"/>
    <xf numFmtId="0" fontId="29" fillId="15" borderId="20" applyNumberFormat="0" applyAlignment="0" applyProtection="0"/>
    <xf numFmtId="0" fontId="22" fillId="0" borderId="25" applyNumberFormat="0" applyFill="0" applyAlignment="0" applyProtection="0"/>
    <xf numFmtId="0" fontId="30" fillId="0" borderId="0" applyNumberFormat="0" applyFill="0" applyBorder="0" applyAlignment="0" applyProtection="0"/>
    <xf numFmtId="0" fontId="31" fillId="12" borderId="0" applyNumberFormat="0" applyBorder="0" applyAlignment="0" applyProtection="0"/>
    <xf numFmtId="0" fontId="32" fillId="14" borderId="0" applyNumberFormat="0" applyBorder="0" applyAlignment="0" applyProtection="0"/>
    <xf numFmtId="0" fontId="24" fillId="18" borderId="24" applyNumberFormat="0" applyFont="0" applyAlignment="0" applyProtection="0"/>
    <xf numFmtId="0" fontId="33" fillId="13" borderId="0" applyNumberFormat="0" applyBorder="0" applyAlignment="0" applyProtection="0"/>
    <xf numFmtId="0" fontId="34" fillId="0" borderId="17" applyNumberFormat="0" applyFill="0" applyAlignment="0" applyProtection="0"/>
    <xf numFmtId="0" fontId="35" fillId="0" borderId="18" applyNumberFormat="0" applyFill="0" applyAlignment="0" applyProtection="0"/>
    <xf numFmtId="0" fontId="36" fillId="0" borderId="19" applyNumberFormat="0" applyFill="0" applyAlignment="0" applyProtection="0"/>
    <xf numFmtId="0" fontId="36" fillId="0" borderId="0" applyNumberFormat="0" applyFill="0" applyBorder="0" applyAlignment="0" applyProtection="0"/>
    <xf numFmtId="0" fontId="37" fillId="0" borderId="22" applyNumberFormat="0" applyFill="0" applyAlignment="0" applyProtection="0"/>
    <xf numFmtId="0" fontId="38" fillId="0" borderId="0" applyNumberFormat="0" applyFill="0" applyBorder="0" applyAlignment="0" applyProtection="0"/>
    <xf numFmtId="0" fontId="39" fillId="17" borderId="23" applyNumberFormat="0" applyAlignment="0" applyProtection="0"/>
    <xf numFmtId="9" fontId="24" fillId="0" borderId="0" applyFont="0" applyFill="0" applyBorder="0" applyAlignment="0" applyProtection="0"/>
    <xf numFmtId="0" fontId="23" fillId="0" borderId="0"/>
    <xf numFmtId="0" fontId="20" fillId="0" borderId="0"/>
    <xf numFmtId="0" fontId="20" fillId="0" borderId="0"/>
    <xf numFmtId="0" fontId="66" fillId="0" borderId="0" applyNumberFormat="0" applyFill="0" applyBorder="0" applyAlignment="0" applyProtection="0"/>
    <xf numFmtId="44" fontId="24" fillId="0" borderId="0" applyFont="0" applyFill="0" applyBorder="0" applyAlignment="0" applyProtection="0"/>
    <xf numFmtId="0" fontId="19" fillId="0" borderId="0"/>
    <xf numFmtId="0" fontId="19" fillId="0" borderId="0"/>
    <xf numFmtId="0" fontId="19" fillId="0" borderId="0"/>
  </cellStyleXfs>
  <cellXfs count="901">
    <xf numFmtId="0" fontId="0" fillId="0" borderId="0" xfId="0"/>
    <xf numFmtId="0" fontId="0" fillId="0" borderId="0" xfId="0"/>
    <xf numFmtId="0" fontId="25" fillId="0" borderId="0" xfId="0" applyFont="1"/>
    <xf numFmtId="0" fontId="40" fillId="43" borderId="0" xfId="0" applyFont="1" applyFill="1" applyBorder="1" applyAlignment="1">
      <alignment horizontal="left" vertical="top" wrapText="1"/>
    </xf>
    <xf numFmtId="10" fontId="40" fillId="43" borderId="29" xfId="2" applyNumberFormat="1" applyFont="1" applyFill="1" applyBorder="1" applyAlignment="1">
      <alignment horizontal="left" vertical="top" wrapText="1"/>
    </xf>
    <xf numFmtId="0" fontId="40" fillId="43" borderId="29" xfId="2" applyNumberFormat="1" applyFont="1" applyFill="1" applyBorder="1" applyAlignment="1">
      <alignment horizontal="left" vertical="top" wrapText="1"/>
    </xf>
    <xf numFmtId="2" fontId="40" fillId="43" borderId="29" xfId="2" applyNumberFormat="1" applyFont="1" applyFill="1" applyBorder="1" applyAlignment="1">
      <alignment horizontal="left" vertical="top" wrapText="1"/>
    </xf>
    <xf numFmtId="0" fontId="47" fillId="0" borderId="43" xfId="0" applyFont="1" applyBorder="1"/>
    <xf numFmtId="0" fontId="48" fillId="0" borderId="43" xfId="0" applyFont="1" applyBorder="1"/>
    <xf numFmtId="0" fontId="0" fillId="0" borderId="0" xfId="0" applyBorder="1"/>
    <xf numFmtId="0" fontId="47" fillId="0" borderId="0" xfId="0" applyFont="1" applyBorder="1"/>
    <xf numFmtId="0" fontId="48" fillId="0" borderId="43" xfId="0" applyFont="1" applyFill="1" applyBorder="1"/>
    <xf numFmtId="0" fontId="47" fillId="0" borderId="43" xfId="0" applyFont="1" applyFill="1" applyBorder="1" applyAlignment="1">
      <alignment horizontal="center" vertical="center"/>
    </xf>
    <xf numFmtId="167" fontId="40" fillId="43" borderId="29" xfId="2" applyNumberFormat="1" applyFont="1" applyFill="1" applyBorder="1" applyAlignment="1">
      <alignment horizontal="left" vertical="top" wrapText="1"/>
    </xf>
    <xf numFmtId="0" fontId="56" fillId="0" borderId="0" xfId="0" applyFont="1" applyProtection="1"/>
    <xf numFmtId="0" fontId="0" fillId="0" borderId="0" xfId="0"/>
    <xf numFmtId="0" fontId="0" fillId="0" borderId="43" xfId="0" applyBorder="1"/>
    <xf numFmtId="167" fontId="40" fillId="43" borderId="30" xfId="0" applyNumberFormat="1" applyFont="1" applyFill="1" applyBorder="1" applyAlignment="1">
      <alignment horizontal="left" vertical="center" wrapText="1"/>
    </xf>
    <xf numFmtId="44" fontId="44" fillId="43" borderId="29" xfId="2" applyFont="1" applyFill="1" applyBorder="1" applyAlignment="1">
      <alignment horizontal="left" vertical="center" wrapText="1"/>
    </xf>
    <xf numFmtId="44" fontId="40" fillId="43" borderId="29" xfId="2" applyFont="1" applyFill="1" applyBorder="1" applyAlignment="1">
      <alignment horizontal="left" vertical="center" wrapText="1"/>
    </xf>
    <xf numFmtId="0" fontId="0" fillId="0" borderId="0" xfId="0" applyAlignment="1">
      <alignment vertical="center"/>
    </xf>
    <xf numFmtId="167" fontId="40" fillId="43" borderId="27" xfId="0" applyNumberFormat="1" applyFont="1" applyFill="1" applyBorder="1" applyAlignment="1">
      <alignment horizontal="left" vertical="center" wrapText="1"/>
    </xf>
    <xf numFmtId="171" fontId="0" fillId="0" borderId="43" xfId="0" applyNumberFormat="1" applyBorder="1"/>
    <xf numFmtId="0" fontId="19" fillId="0" borderId="0" xfId="0" applyFont="1"/>
    <xf numFmtId="44" fontId="19" fillId="0" borderId="0" xfId="2" applyFont="1"/>
    <xf numFmtId="0" fontId="45" fillId="3" borderId="15" xfId="0" applyFont="1" applyFill="1" applyBorder="1" applyAlignment="1">
      <alignment horizontal="center" vertical="center"/>
    </xf>
    <xf numFmtId="0" fontId="45" fillId="49" borderId="15" xfId="0" applyFont="1" applyFill="1" applyBorder="1" applyAlignment="1">
      <alignment horizontal="center" vertical="center"/>
    </xf>
    <xf numFmtId="0" fontId="19" fillId="0" borderId="0" xfId="0" applyFont="1" applyAlignment="1">
      <alignment vertical="center"/>
    </xf>
    <xf numFmtId="44" fontId="19" fillId="0" borderId="0" xfId="2" applyFont="1" applyAlignment="1">
      <alignment vertical="center"/>
    </xf>
    <xf numFmtId="0" fontId="19" fillId="0" borderId="0" xfId="0" applyFont="1" applyAlignment="1">
      <alignment horizontal="center" vertical="center"/>
    </xf>
    <xf numFmtId="44" fontId="19" fillId="0" borderId="0" xfId="2" applyFont="1" applyAlignment="1">
      <alignment horizontal="center" vertical="center"/>
    </xf>
    <xf numFmtId="0" fontId="45" fillId="6" borderId="15" xfId="0" applyFont="1" applyFill="1" applyBorder="1" applyAlignment="1">
      <alignment horizontal="center" vertical="center"/>
    </xf>
    <xf numFmtId="0" fontId="45" fillId="11" borderId="15" xfId="0" applyFont="1" applyFill="1" applyBorder="1" applyAlignment="1">
      <alignment horizontal="center" vertical="center"/>
    </xf>
    <xf numFmtId="0" fontId="67" fillId="0" borderId="0" xfId="0" applyFont="1" applyAlignment="1">
      <alignment vertical="center"/>
    </xf>
    <xf numFmtId="0" fontId="68" fillId="0" borderId="0" xfId="49" applyFont="1" applyAlignment="1">
      <alignment vertical="center"/>
    </xf>
    <xf numFmtId="0" fontId="45" fillId="44" borderId="15" xfId="0" applyFont="1" applyFill="1" applyBorder="1" applyAlignment="1">
      <alignment horizontal="center" vertical="center"/>
    </xf>
    <xf numFmtId="0" fontId="60" fillId="10" borderId="15" xfId="0" applyFont="1" applyFill="1" applyBorder="1" applyAlignment="1">
      <alignment horizontal="center" vertical="center"/>
    </xf>
    <xf numFmtId="0" fontId="69" fillId="50" borderId="29" xfId="0" applyFont="1" applyFill="1" applyBorder="1" applyAlignment="1">
      <alignment horizontal="center" vertical="center" wrapText="1"/>
    </xf>
    <xf numFmtId="0" fontId="70" fillId="0" borderId="0" xfId="49" applyFont="1"/>
    <xf numFmtId="0" fontId="45" fillId="48" borderId="15" xfId="0" applyFont="1" applyFill="1" applyBorder="1" applyAlignment="1">
      <alignment horizontal="center" vertical="center"/>
    </xf>
    <xf numFmtId="14" fontId="0" fillId="0" borderId="0" xfId="0" applyNumberFormat="1"/>
    <xf numFmtId="0" fontId="25" fillId="0" borderId="0" xfId="0" applyFont="1" applyAlignment="1">
      <alignment vertical="top"/>
    </xf>
    <xf numFmtId="0" fontId="0" fillId="0" borderId="0" xfId="0" applyAlignment="1">
      <alignment vertical="top"/>
    </xf>
    <xf numFmtId="167" fontId="0" fillId="0" borderId="43" xfId="45" applyNumberFormat="1" applyFont="1" applyBorder="1"/>
    <xf numFmtId="44" fontId="19" fillId="43" borderId="29" xfId="2" applyFont="1" applyFill="1" applyBorder="1" applyAlignment="1">
      <alignment horizontal="center" vertical="center"/>
    </xf>
    <xf numFmtId="0" fontId="69" fillId="50" borderId="26" xfId="0" applyFont="1" applyFill="1" applyBorder="1" applyAlignment="1">
      <alignment horizontal="center" vertical="center"/>
    </xf>
    <xf numFmtId="0" fontId="19" fillId="0" borderId="0" xfId="0" applyFont="1" applyAlignment="1">
      <alignment horizontal="center" vertical="center" wrapText="1"/>
    </xf>
    <xf numFmtId="0" fontId="71" fillId="0" borderId="0" xfId="0" applyFont="1" applyAlignment="1">
      <alignment vertical="center"/>
    </xf>
    <xf numFmtId="0" fontId="61" fillId="0" borderId="0" xfId="0" applyFont="1" applyAlignment="1">
      <alignment vertical="center"/>
    </xf>
    <xf numFmtId="167" fontId="61" fillId="43" borderId="29" xfId="45" applyNumberFormat="1" applyFont="1" applyFill="1" applyBorder="1" applyAlignment="1">
      <alignment horizontal="center" vertical="center" wrapText="1"/>
    </xf>
    <xf numFmtId="0" fontId="61" fillId="0" borderId="40" xfId="0" applyFont="1" applyBorder="1" applyAlignment="1">
      <alignment horizontal="center" vertical="center"/>
    </xf>
    <xf numFmtId="0" fontId="61" fillId="45" borderId="42" xfId="0" applyFont="1" applyFill="1" applyBorder="1" applyAlignment="1">
      <alignment horizontal="center" vertical="center"/>
    </xf>
    <xf numFmtId="0" fontId="61" fillId="0" borderId="42" xfId="0" applyFont="1" applyBorder="1" applyAlignment="1">
      <alignment horizontal="center" vertical="center"/>
    </xf>
    <xf numFmtId="0" fontId="61" fillId="0" borderId="41" xfId="0" applyFont="1" applyBorder="1" applyAlignment="1">
      <alignment horizontal="center" vertical="center"/>
    </xf>
    <xf numFmtId="0" fontId="59" fillId="0" borderId="0" xfId="0" applyFont="1" applyAlignment="1">
      <alignment vertical="center"/>
    </xf>
    <xf numFmtId="2" fontId="19" fillId="43" borderId="29" xfId="2" applyNumberFormat="1" applyFont="1" applyFill="1" applyBorder="1" applyAlignment="1">
      <alignment horizontal="left" vertical="center" wrapText="1"/>
    </xf>
    <xf numFmtId="167" fontId="19" fillId="43" borderId="30" xfId="0" applyNumberFormat="1" applyFont="1" applyFill="1" applyBorder="1" applyAlignment="1">
      <alignment horizontal="left" vertical="center" wrapText="1"/>
    </xf>
    <xf numFmtId="171" fontId="61" fillId="43" borderId="29" xfId="45" applyNumberFormat="1" applyFont="1" applyFill="1" applyBorder="1" applyAlignment="1">
      <alignment horizontal="center" vertical="center" wrapText="1"/>
    </xf>
    <xf numFmtId="0" fontId="63" fillId="0" borderId="0" xfId="0" applyFont="1" applyProtection="1">
      <protection locked="0"/>
    </xf>
    <xf numFmtId="0" fontId="73" fillId="0" borderId="0" xfId="0" applyFont="1"/>
    <xf numFmtId="14" fontId="63" fillId="0" borderId="0" xfId="0" applyNumberFormat="1" applyFont="1" applyProtection="1">
      <protection locked="0"/>
    </xf>
    <xf numFmtId="0" fontId="63" fillId="0" borderId="0" xfId="0" applyFont="1" applyAlignment="1" applyProtection="1">
      <protection locked="0"/>
    </xf>
    <xf numFmtId="0" fontId="63" fillId="0" borderId="0" xfId="0" applyFont="1" applyAlignment="1" applyProtection="1">
      <alignment horizontal="left"/>
      <protection locked="0"/>
    </xf>
    <xf numFmtId="1" fontId="63" fillId="0" borderId="0" xfId="0" applyNumberFormat="1" applyFont="1" applyAlignment="1" applyProtection="1">
      <alignment horizontal="left"/>
      <protection locked="0"/>
    </xf>
    <xf numFmtId="0" fontId="58" fillId="0" borderId="0" xfId="0" applyFont="1" applyProtection="1">
      <protection locked="0"/>
    </xf>
    <xf numFmtId="14" fontId="56" fillId="52" borderId="70" xfId="0" applyNumberFormat="1" applyFont="1" applyFill="1" applyBorder="1" applyAlignment="1" applyProtection="1">
      <alignment horizontal="center" vertical="center" wrapText="1"/>
      <protection locked="0"/>
    </xf>
    <xf numFmtId="14" fontId="63" fillId="52" borderId="71" xfId="0" applyNumberFormat="1" applyFont="1" applyFill="1" applyBorder="1" applyAlignment="1" applyProtection="1">
      <alignment horizontal="center" vertical="center" wrapText="1"/>
      <protection locked="0"/>
    </xf>
    <xf numFmtId="14" fontId="58" fillId="52" borderId="71" xfId="0" applyNumberFormat="1" applyFont="1" applyFill="1" applyBorder="1" applyAlignment="1" applyProtection="1">
      <alignment horizontal="center" vertical="center" wrapText="1"/>
      <protection locked="0"/>
    </xf>
    <xf numFmtId="14" fontId="56" fillId="52" borderId="71" xfId="0" applyNumberFormat="1" applyFont="1" applyFill="1" applyBorder="1" applyAlignment="1" applyProtection="1">
      <alignment horizontal="center" vertical="center" wrapText="1"/>
      <protection locked="0"/>
    </xf>
    <xf numFmtId="14" fontId="63" fillId="52" borderId="71" xfId="0" applyNumberFormat="1" applyFont="1" applyFill="1" applyBorder="1" applyAlignment="1" applyProtection="1">
      <alignment vertical="center" wrapText="1"/>
      <protection locked="0"/>
    </xf>
    <xf numFmtId="14" fontId="56" fillId="52" borderId="71" xfId="0" applyNumberFormat="1" applyFont="1" applyFill="1" applyBorder="1" applyAlignment="1" applyProtection="1">
      <alignment vertical="center" wrapText="1"/>
      <protection locked="0"/>
    </xf>
    <xf numFmtId="14" fontId="56" fillId="52" borderId="72" xfId="0" applyNumberFormat="1" applyFont="1" applyFill="1" applyBorder="1" applyAlignment="1" applyProtection="1">
      <alignment horizontal="center" vertical="center" wrapText="1"/>
      <protection locked="0"/>
    </xf>
    <xf numFmtId="0" fontId="63" fillId="0" borderId="0" xfId="0" applyFont="1" applyAlignment="1" applyProtection="1">
      <alignment vertical="center" wrapText="1"/>
      <protection locked="0"/>
    </xf>
    <xf numFmtId="0" fontId="56" fillId="0" borderId="0" xfId="0" applyFont="1" applyFill="1" applyBorder="1" applyAlignment="1" applyProtection="1">
      <alignment vertical="center"/>
      <protection locked="0"/>
    </xf>
    <xf numFmtId="0" fontId="63" fillId="0" borderId="0" xfId="0" applyFont="1" applyFill="1" applyBorder="1" applyAlignment="1" applyProtection="1">
      <alignment vertical="center" wrapText="1"/>
      <protection locked="0"/>
    </xf>
    <xf numFmtId="0" fontId="74" fillId="51" borderId="74" xfId="0" applyFont="1" applyFill="1" applyBorder="1" applyAlignment="1" applyProtection="1">
      <alignment wrapText="1"/>
      <protection locked="0"/>
    </xf>
    <xf numFmtId="0" fontId="58" fillId="51" borderId="74" xfId="0" applyFont="1" applyFill="1" applyBorder="1" applyAlignment="1" applyProtection="1">
      <alignment vertical="center" wrapText="1"/>
      <protection locked="0"/>
    </xf>
    <xf numFmtId="0" fontId="58" fillId="51" borderId="74" xfId="0" applyFont="1" applyFill="1" applyBorder="1" applyAlignment="1" applyProtection="1">
      <alignment horizontal="center" vertical="center" wrapText="1"/>
      <protection locked="0"/>
    </xf>
    <xf numFmtId="168" fontId="58" fillId="48" borderId="74" xfId="0" applyNumberFormat="1" applyFont="1" applyFill="1" applyBorder="1" applyAlignment="1" applyProtection="1">
      <alignment horizontal="center" vertical="center" wrapText="1"/>
      <protection locked="0"/>
    </xf>
    <xf numFmtId="10" fontId="58" fillId="48" borderId="74" xfId="0" applyNumberFormat="1" applyFont="1" applyFill="1" applyBorder="1" applyAlignment="1" applyProtection="1">
      <alignment horizontal="center" vertical="center" wrapText="1"/>
      <protection locked="0"/>
    </xf>
    <xf numFmtId="1" fontId="58" fillId="48" borderId="74" xfId="0" applyNumberFormat="1" applyFont="1" applyFill="1" applyBorder="1" applyAlignment="1" applyProtection="1">
      <alignment horizontal="center" vertical="center" wrapText="1"/>
      <protection locked="0"/>
    </xf>
    <xf numFmtId="0" fontId="63" fillId="0" borderId="0" xfId="0" applyFont="1" applyFill="1" applyBorder="1" applyProtection="1">
      <protection locked="0"/>
    </xf>
    <xf numFmtId="0" fontId="63" fillId="0" borderId="0" xfId="0" applyFont="1" applyBorder="1" applyProtection="1">
      <protection locked="0"/>
    </xf>
    <xf numFmtId="0" fontId="56" fillId="0" borderId="0" xfId="0" applyFont="1" applyBorder="1" applyProtection="1">
      <protection locked="0"/>
    </xf>
    <xf numFmtId="0" fontId="56" fillId="0" borderId="0" xfId="0" applyFont="1" applyAlignment="1" applyProtection="1">
      <alignment horizontal="right"/>
      <protection locked="0"/>
    </xf>
    <xf numFmtId="0" fontId="63" fillId="0" borderId="43" xfId="0" applyFont="1" applyFill="1" applyBorder="1" applyAlignment="1" applyProtection="1">
      <alignment horizontal="center" vertical="center"/>
      <protection locked="0"/>
    </xf>
    <xf numFmtId="14" fontId="63" fillId="0" borderId="43" xfId="0" applyNumberFormat="1" applyFont="1" applyFill="1" applyBorder="1" applyAlignment="1" applyProtection="1">
      <alignment horizontal="center" vertical="center"/>
      <protection locked="0"/>
    </xf>
    <xf numFmtId="0" fontId="56" fillId="0" borderId="0" xfId="0" applyFont="1" applyBorder="1" applyAlignment="1" applyProtection="1">
      <alignment vertical="center"/>
      <protection locked="0"/>
    </xf>
    <xf numFmtId="0" fontId="56" fillId="0" borderId="0" xfId="0" applyFont="1" applyBorder="1" applyAlignment="1" applyProtection="1">
      <alignment horizontal="left" vertical="center"/>
      <protection locked="0"/>
    </xf>
    <xf numFmtId="0" fontId="63" fillId="0" borderId="0" xfId="0" applyFont="1" applyBorder="1" applyAlignment="1" applyProtection="1">
      <alignment horizontal="left"/>
      <protection locked="0"/>
    </xf>
    <xf numFmtId="0" fontId="63" fillId="0" borderId="0" xfId="0" applyFont="1" applyFill="1" applyBorder="1" applyAlignment="1" applyProtection="1">
      <alignment horizontal="center" wrapText="1" shrinkToFit="1"/>
      <protection locked="0"/>
    </xf>
    <xf numFmtId="0" fontId="63" fillId="0" borderId="43" xfId="0" applyFont="1" applyFill="1" applyBorder="1" applyAlignment="1" applyProtection="1">
      <alignment horizontal="center" vertical="center" wrapText="1" shrinkToFit="1"/>
      <protection locked="0"/>
    </xf>
    <xf numFmtId="14" fontId="63" fillId="0" borderId="0" xfId="0" applyNumberFormat="1" applyFont="1" applyBorder="1" applyAlignment="1" applyProtection="1">
      <alignment horizontal="center"/>
      <protection locked="0"/>
    </xf>
    <xf numFmtId="0" fontId="63" fillId="2" borderId="1" xfId="0" applyFont="1" applyFill="1" applyBorder="1" applyProtection="1">
      <protection locked="0"/>
    </xf>
    <xf numFmtId="0" fontId="63" fillId="2" borderId="2" xfId="0" applyFont="1" applyFill="1" applyBorder="1" applyProtection="1">
      <protection locked="0"/>
    </xf>
    <xf numFmtId="0" fontId="63" fillId="2" borderId="3" xfId="0" applyFont="1" applyFill="1" applyBorder="1" applyProtection="1">
      <protection locked="0"/>
    </xf>
    <xf numFmtId="0" fontId="63" fillId="0" borderId="2" xfId="0" applyFont="1" applyBorder="1" applyProtection="1">
      <protection locked="0"/>
    </xf>
    <xf numFmtId="0" fontId="74" fillId="3" borderId="4" xfId="0" applyFont="1" applyFill="1" applyBorder="1" applyAlignment="1" applyProtection="1">
      <alignment horizontal="center"/>
      <protection locked="0"/>
    </xf>
    <xf numFmtId="0" fontId="74" fillId="3" borderId="5" xfId="0" applyFont="1" applyFill="1" applyBorder="1" applyAlignment="1" applyProtection="1">
      <alignment horizontal="center"/>
      <protection locked="0"/>
    </xf>
    <xf numFmtId="0" fontId="74" fillId="4" borderId="6" xfId="0" applyFont="1" applyFill="1" applyBorder="1" applyAlignment="1" applyProtection="1">
      <alignment horizontal="center"/>
      <protection locked="0"/>
    </xf>
    <xf numFmtId="0" fontId="74" fillId="4" borderId="5" xfId="0" applyFont="1" applyFill="1" applyBorder="1" applyAlignment="1" applyProtection="1">
      <alignment horizontal="center"/>
      <protection locked="0"/>
    </xf>
    <xf numFmtId="0" fontId="74" fillId="4" borderId="4" xfId="0" applyFont="1" applyFill="1" applyBorder="1" applyAlignment="1" applyProtection="1">
      <alignment horizontal="center"/>
      <protection locked="0"/>
    </xf>
    <xf numFmtId="0" fontId="74" fillId="11" borderId="6" xfId="0" applyFont="1" applyFill="1" applyBorder="1" applyAlignment="1" applyProtection="1">
      <alignment horizontal="center"/>
      <protection locked="0"/>
    </xf>
    <xf numFmtId="0" fontId="74" fillId="11" borderId="5" xfId="0" applyFont="1" applyFill="1" applyBorder="1" applyAlignment="1" applyProtection="1">
      <alignment horizontal="center"/>
      <protection locked="0"/>
    </xf>
    <xf numFmtId="0" fontId="58" fillId="2" borderId="7" xfId="0" applyFont="1" applyFill="1" applyBorder="1" applyProtection="1">
      <protection locked="0"/>
    </xf>
    <xf numFmtId="0" fontId="63" fillId="2" borderId="0" xfId="0" applyFont="1" applyFill="1" applyBorder="1" applyProtection="1">
      <protection locked="0"/>
    </xf>
    <xf numFmtId="0" fontId="63" fillId="2" borderId="8" xfId="0" applyFont="1" applyFill="1" applyBorder="1" applyProtection="1">
      <protection locked="0"/>
    </xf>
    <xf numFmtId="0" fontId="63" fillId="5" borderId="0" xfId="0" applyFont="1" applyFill="1" applyBorder="1" applyProtection="1">
      <protection locked="0"/>
    </xf>
    <xf numFmtId="14" fontId="56" fillId="5" borderId="6" xfId="0" applyNumberFormat="1" applyFont="1" applyFill="1" applyBorder="1" applyAlignment="1" applyProtection="1">
      <alignment horizontal="center" vertical="center"/>
      <protection locked="0"/>
    </xf>
    <xf numFmtId="14" fontId="56" fillId="5" borderId="5" xfId="0" applyNumberFormat="1" applyFont="1" applyFill="1" applyBorder="1" applyAlignment="1" applyProtection="1">
      <alignment horizontal="center" vertical="center"/>
      <protection locked="0"/>
    </xf>
    <xf numFmtId="14" fontId="56" fillId="5" borderId="4" xfId="0" applyNumberFormat="1" applyFont="1" applyFill="1" applyBorder="1" applyAlignment="1" applyProtection="1">
      <alignment horizontal="center" vertical="center"/>
      <protection locked="0"/>
    </xf>
    <xf numFmtId="170" fontId="63" fillId="0" borderId="7" xfId="0" applyNumberFormat="1" applyFont="1" applyBorder="1" applyAlignment="1" applyProtection="1">
      <alignment horizontal="center" vertical="center"/>
      <protection locked="0"/>
    </xf>
    <xf numFmtId="1" fontId="63" fillId="0" borderId="8" xfId="0" applyNumberFormat="1" applyFont="1" applyBorder="1" applyAlignment="1" applyProtection="1">
      <alignment horizontal="center"/>
      <protection locked="0"/>
    </xf>
    <xf numFmtId="1" fontId="63" fillId="0" borderId="8" xfId="0" applyNumberFormat="1" applyFont="1" applyBorder="1" applyAlignment="1" applyProtection="1">
      <alignment horizontal="center" vertical="center"/>
      <protection locked="0"/>
    </xf>
    <xf numFmtId="1" fontId="63" fillId="0" borderId="0" xfId="0" applyNumberFormat="1" applyFont="1" applyBorder="1" applyAlignment="1" applyProtection="1">
      <alignment horizontal="center"/>
      <protection locked="0"/>
    </xf>
    <xf numFmtId="0" fontId="63" fillId="0" borderId="0" xfId="0" applyFont="1" applyBorder="1" applyAlignment="1" applyProtection="1">
      <alignment horizontal="center"/>
      <protection locked="0"/>
    </xf>
    <xf numFmtId="0" fontId="58" fillId="2" borderId="6" xfId="0" applyFont="1" applyFill="1" applyBorder="1" applyProtection="1">
      <protection locked="0"/>
    </xf>
    <xf numFmtId="0" fontId="56" fillId="2" borderId="4" xfId="0" applyFont="1" applyFill="1" applyBorder="1" applyProtection="1">
      <protection locked="0"/>
    </xf>
    <xf numFmtId="0" fontId="56" fillId="2" borderId="5" xfId="0" applyFont="1" applyFill="1" applyBorder="1" applyProtection="1">
      <protection locked="0"/>
    </xf>
    <xf numFmtId="4" fontId="56" fillId="2" borderId="10" xfId="0" applyNumberFormat="1" applyFont="1" applyFill="1" applyBorder="1" applyAlignment="1" applyProtection="1">
      <alignment horizontal="center"/>
    </xf>
    <xf numFmtId="0" fontId="58" fillId="2" borderId="1" xfId="0" applyFont="1" applyFill="1" applyBorder="1" applyProtection="1">
      <protection locked="0"/>
    </xf>
    <xf numFmtId="0" fontId="63" fillId="5" borderId="2" xfId="0" applyFont="1" applyFill="1" applyBorder="1" applyProtection="1">
      <protection locked="0"/>
    </xf>
    <xf numFmtId="4" fontId="56" fillId="2" borderId="2" xfId="0" applyNumberFormat="1" applyFont="1" applyFill="1" applyBorder="1" applyAlignment="1" applyProtection="1">
      <alignment horizontal="center"/>
    </xf>
    <xf numFmtId="0" fontId="58" fillId="2" borderId="9" xfId="0" applyFont="1" applyFill="1" applyBorder="1" applyProtection="1">
      <protection locked="0"/>
    </xf>
    <xf numFmtId="0" fontId="63" fillId="2" borderId="10" xfId="0" applyFont="1" applyFill="1" applyBorder="1" applyProtection="1">
      <protection locked="0"/>
    </xf>
    <xf numFmtId="0" fontId="63" fillId="2" borderId="11" xfId="0" applyFont="1" applyFill="1" applyBorder="1" applyProtection="1">
      <protection locked="0"/>
    </xf>
    <xf numFmtId="0" fontId="63" fillId="5" borderId="10" xfId="0" applyFont="1" applyFill="1" applyBorder="1" applyProtection="1">
      <protection locked="0"/>
    </xf>
    <xf numFmtId="2" fontId="56" fillId="2" borderId="10" xfId="0" applyNumberFormat="1" applyFont="1" applyFill="1" applyBorder="1" applyAlignment="1" applyProtection="1">
      <alignment horizontal="center"/>
    </xf>
    <xf numFmtId="0" fontId="63" fillId="0" borderId="10" xfId="0" applyFont="1" applyBorder="1" applyProtection="1">
      <protection locked="0"/>
    </xf>
    <xf numFmtId="167" fontId="56" fillId="2" borderId="10" xfId="0" applyNumberFormat="1" applyFont="1" applyFill="1" applyBorder="1" applyAlignment="1" applyProtection="1">
      <alignment horizontal="center"/>
    </xf>
    <xf numFmtId="0" fontId="74" fillId="6" borderId="6" xfId="0" applyFont="1" applyFill="1" applyBorder="1" applyAlignment="1" applyProtection="1">
      <alignment horizontal="center"/>
      <protection locked="0"/>
    </xf>
    <xf numFmtId="0" fontId="74" fillId="6" borderId="5" xfId="0" applyFont="1" applyFill="1" applyBorder="1" applyAlignment="1" applyProtection="1">
      <alignment horizontal="center"/>
      <protection locked="0"/>
    </xf>
    <xf numFmtId="0" fontId="74" fillId="7" borderId="6" xfId="0" applyFont="1" applyFill="1" applyBorder="1" applyAlignment="1" applyProtection="1">
      <alignment horizontal="center"/>
      <protection locked="0"/>
    </xf>
    <xf numFmtId="0" fontId="74" fillId="7" borderId="5" xfId="0" applyFont="1" applyFill="1" applyBorder="1" applyAlignment="1" applyProtection="1">
      <alignment horizontal="center"/>
      <protection locked="0"/>
    </xf>
    <xf numFmtId="0" fontId="74" fillId="7" borderId="4" xfId="0" applyFont="1" applyFill="1" applyBorder="1" applyAlignment="1" applyProtection="1">
      <alignment horizontal="center"/>
      <protection locked="0"/>
    </xf>
    <xf numFmtId="0" fontId="74" fillId="10" borderId="6" xfId="0" applyFont="1" applyFill="1" applyBorder="1" applyAlignment="1" applyProtection="1">
      <alignment horizontal="center"/>
      <protection locked="0"/>
    </xf>
    <xf numFmtId="0" fontId="74" fillId="10" borderId="5" xfId="0" applyFont="1" applyFill="1" applyBorder="1" applyAlignment="1" applyProtection="1">
      <alignment horizontal="center"/>
      <protection locked="0"/>
    </xf>
    <xf numFmtId="0" fontId="63" fillId="0" borderId="0" xfId="0" applyFont="1" applyAlignment="1" applyProtection="1">
      <alignment horizontal="center"/>
      <protection locked="0"/>
    </xf>
    <xf numFmtId="4" fontId="63" fillId="0" borderId="0" xfId="0" applyNumberFormat="1" applyFont="1" applyProtection="1">
      <protection locked="0"/>
    </xf>
    <xf numFmtId="1" fontId="63" fillId="0" borderId="0" xfId="0" applyNumberFormat="1" applyFont="1" applyProtection="1">
      <protection locked="0"/>
    </xf>
    <xf numFmtId="2" fontId="63" fillId="0" borderId="0" xfId="0" applyNumberFormat="1" applyFont="1" applyAlignment="1" applyProtection="1">
      <alignment horizontal="center"/>
      <protection locked="0"/>
    </xf>
    <xf numFmtId="164" fontId="63" fillId="0" borderId="0" xfId="2" applyNumberFormat="1" applyFont="1" applyAlignment="1" applyProtection="1">
      <alignment horizontal="center"/>
      <protection locked="0"/>
    </xf>
    <xf numFmtId="0" fontId="58" fillId="2" borderId="6" xfId="0" applyFont="1" applyFill="1" applyBorder="1" applyAlignment="1" applyProtection="1">
      <alignment vertical="center"/>
      <protection locked="0"/>
    </xf>
    <xf numFmtId="0" fontId="58" fillId="2" borderId="15" xfId="0" applyFont="1" applyFill="1" applyBorder="1" applyAlignment="1" applyProtection="1">
      <alignment horizontal="center" vertical="center"/>
    </xf>
    <xf numFmtId="166" fontId="58" fillId="8" borderId="12" xfId="0" applyNumberFormat="1" applyFont="1" applyFill="1" applyBorder="1" applyAlignment="1" applyProtection="1">
      <alignment horizontal="center" vertical="center"/>
      <protection locked="0"/>
    </xf>
    <xf numFmtId="0" fontId="58" fillId="8" borderId="12" xfId="0" applyFont="1" applyFill="1" applyBorder="1" applyAlignment="1" applyProtection="1">
      <alignment horizontal="center" vertical="center"/>
      <protection locked="0"/>
    </xf>
    <xf numFmtId="170" fontId="58" fillId="8" borderId="12" xfId="0" applyNumberFormat="1" applyFont="1" applyFill="1" applyBorder="1" applyAlignment="1" applyProtection="1">
      <alignment horizontal="center" vertical="center"/>
      <protection locked="0"/>
    </xf>
    <xf numFmtId="0" fontId="58" fillId="4" borderId="12" xfId="0" applyFont="1" applyFill="1" applyBorder="1" applyAlignment="1" applyProtection="1">
      <alignment horizontal="center"/>
      <protection locked="0"/>
    </xf>
    <xf numFmtId="0" fontId="58" fillId="11" borderId="1" xfId="0" applyFont="1" applyFill="1" applyBorder="1" applyAlignment="1" applyProtection="1">
      <alignment horizontal="center"/>
      <protection locked="0"/>
    </xf>
    <xf numFmtId="0" fontId="63" fillId="0" borderId="0" xfId="0" applyFont="1" applyFill="1" applyProtection="1">
      <protection locked="0"/>
    </xf>
    <xf numFmtId="0" fontId="58" fillId="11" borderId="12" xfId="0" applyFont="1" applyFill="1" applyBorder="1" applyAlignment="1" applyProtection="1">
      <alignment horizontal="center"/>
      <protection locked="0"/>
    </xf>
    <xf numFmtId="0" fontId="63" fillId="0" borderId="13" xfId="0" applyFont="1" applyBorder="1" applyAlignment="1" applyProtection="1">
      <alignment horizontal="center" vertical="center"/>
    </xf>
    <xf numFmtId="14" fontId="63" fillId="0" borderId="13" xfId="0" applyNumberFormat="1" applyFont="1" applyBorder="1" applyAlignment="1" applyProtection="1">
      <alignment horizontal="center" vertical="center"/>
    </xf>
    <xf numFmtId="2" fontId="63" fillId="0" borderId="13" xfId="0" applyNumberFormat="1" applyFont="1" applyBorder="1" applyAlignment="1" applyProtection="1">
      <alignment horizontal="center" vertical="center"/>
    </xf>
    <xf numFmtId="4" fontId="63" fillId="0" borderId="13" xfId="0" applyNumberFormat="1" applyFont="1" applyFill="1" applyBorder="1" applyAlignment="1" applyProtection="1">
      <alignment horizontal="center" vertical="center"/>
    </xf>
    <xf numFmtId="2" fontId="63" fillId="0" borderId="13" xfId="0" applyNumberFormat="1" applyFont="1" applyFill="1" applyBorder="1" applyAlignment="1" applyProtection="1">
      <alignment vertical="center"/>
    </xf>
    <xf numFmtId="4" fontId="63" fillId="0" borderId="13" xfId="0" applyNumberFormat="1" applyFont="1" applyFill="1" applyBorder="1" applyAlignment="1" applyProtection="1">
      <alignment vertical="center"/>
    </xf>
    <xf numFmtId="0" fontId="63" fillId="0" borderId="0" xfId="0" applyFont="1" applyFill="1" applyAlignment="1" applyProtection="1">
      <alignment vertical="center"/>
      <protection locked="0"/>
    </xf>
    <xf numFmtId="0" fontId="63" fillId="0" borderId="0" xfId="0" applyFont="1" applyAlignment="1" applyProtection="1">
      <alignment vertical="center"/>
      <protection locked="0"/>
    </xf>
    <xf numFmtId="49" fontId="58" fillId="9" borderId="14" xfId="0" applyNumberFormat="1" applyFont="1" applyFill="1" applyBorder="1" applyAlignment="1" applyProtection="1">
      <alignment horizontal="center"/>
      <protection locked="0"/>
    </xf>
    <xf numFmtId="4" fontId="58" fillId="9" borderId="14" xfId="0" applyNumberFormat="1" applyFont="1" applyFill="1" applyBorder="1" applyAlignment="1" applyProtection="1">
      <alignment horizontal="center"/>
      <protection locked="0"/>
    </xf>
    <xf numFmtId="4" fontId="58" fillId="9" borderId="14" xfId="0" applyNumberFormat="1" applyFont="1" applyFill="1" applyBorder="1" applyProtection="1">
      <protection locked="0"/>
    </xf>
    <xf numFmtId="49" fontId="58" fillId="4" borderId="14" xfId="0" applyNumberFormat="1" applyFont="1" applyFill="1" applyBorder="1" applyAlignment="1" applyProtection="1">
      <alignment horizontal="center"/>
    </xf>
    <xf numFmtId="4" fontId="58" fillId="4" borderId="14" xfId="0" applyNumberFormat="1" applyFont="1" applyFill="1" applyBorder="1" applyProtection="1"/>
    <xf numFmtId="49" fontId="58" fillId="11" borderId="9" xfId="0" applyNumberFormat="1" applyFont="1" applyFill="1" applyBorder="1" applyAlignment="1" applyProtection="1">
      <alignment horizontal="left"/>
      <protection locked="0"/>
    </xf>
    <xf numFmtId="4" fontId="58" fillId="11" borderId="14" xfId="0" applyNumberFormat="1" applyFont="1" applyFill="1" applyBorder="1" applyProtection="1">
      <protection locked="0"/>
    </xf>
    <xf numFmtId="0" fontId="63" fillId="0" borderId="15" xfId="0" applyFont="1" applyBorder="1" applyAlignment="1" applyProtection="1">
      <alignment horizontal="center"/>
    </xf>
    <xf numFmtId="2" fontId="63" fillId="0" borderId="6" xfId="0" applyNumberFormat="1" applyFont="1" applyBorder="1" applyProtection="1"/>
    <xf numFmtId="165" fontId="63" fillId="0" borderId="15" xfId="2" applyNumberFormat="1" applyFont="1" applyFill="1" applyBorder="1" applyAlignment="1" applyProtection="1"/>
    <xf numFmtId="49" fontId="58" fillId="2" borderId="15" xfId="0" applyNumberFormat="1" applyFont="1" applyFill="1" applyBorder="1" applyAlignment="1" applyProtection="1">
      <alignment horizontal="center"/>
      <protection locked="0"/>
    </xf>
    <xf numFmtId="4" fontId="58" fillId="2" borderId="15" xfId="0" applyNumberFormat="1" applyFont="1" applyFill="1" applyBorder="1" applyAlignment="1" applyProtection="1">
      <alignment horizontal="center"/>
      <protection locked="0"/>
    </xf>
    <xf numFmtId="4" fontId="58" fillId="2" borderId="15" xfId="0" applyNumberFormat="1" applyFont="1" applyFill="1" applyBorder="1" applyProtection="1">
      <protection locked="0"/>
    </xf>
    <xf numFmtId="49" fontId="58" fillId="2" borderId="15" xfId="0" applyNumberFormat="1" applyFont="1" applyFill="1" applyBorder="1" applyAlignment="1" applyProtection="1">
      <alignment horizontal="center"/>
    </xf>
    <xf numFmtId="4" fontId="58" fillId="2" borderId="15" xfId="0" applyNumberFormat="1" applyFont="1" applyFill="1" applyBorder="1" applyProtection="1"/>
    <xf numFmtId="2" fontId="63" fillId="0" borderId="0" xfId="0" applyNumberFormat="1" applyFont="1" applyBorder="1" applyProtection="1">
      <protection locked="0"/>
    </xf>
    <xf numFmtId="165" fontId="63" fillId="0" borderId="0" xfId="2" applyNumberFormat="1" applyFont="1" applyFill="1" applyBorder="1" applyAlignment="1" applyProtection="1">
      <protection locked="0"/>
    </xf>
    <xf numFmtId="166" fontId="58" fillId="6" borderId="12" xfId="0" applyNumberFormat="1" applyFont="1" applyFill="1" applyBorder="1" applyAlignment="1" applyProtection="1">
      <alignment horizontal="center"/>
      <protection locked="0"/>
    </xf>
    <xf numFmtId="0" fontId="58" fillId="6" borderId="12" xfId="0" applyFont="1" applyFill="1" applyBorder="1" applyAlignment="1" applyProtection="1">
      <alignment horizontal="center"/>
      <protection locked="0"/>
    </xf>
    <xf numFmtId="170" fontId="58" fillId="6" borderId="12" xfId="0" applyNumberFormat="1" applyFont="1" applyFill="1" applyBorder="1" applyAlignment="1" applyProtection="1">
      <alignment horizontal="center" vertical="center"/>
      <protection locked="0"/>
    </xf>
    <xf numFmtId="0" fontId="58" fillId="6" borderId="12" xfId="0" applyFont="1" applyFill="1" applyBorder="1" applyAlignment="1" applyProtection="1">
      <alignment horizontal="center" vertical="center"/>
      <protection locked="0"/>
    </xf>
    <xf numFmtId="0" fontId="58" fillId="7" borderId="12" xfId="0" applyFont="1" applyFill="1" applyBorder="1" applyAlignment="1" applyProtection="1">
      <alignment horizontal="center"/>
      <protection locked="0"/>
    </xf>
    <xf numFmtId="0" fontId="58" fillId="10" borderId="1" xfId="0" applyFont="1" applyFill="1" applyBorder="1" applyAlignment="1" applyProtection="1">
      <alignment horizontal="center"/>
      <protection locked="0"/>
    </xf>
    <xf numFmtId="166" fontId="58" fillId="6" borderId="12" xfId="0" applyNumberFormat="1" applyFont="1" applyFill="1" applyBorder="1" applyAlignment="1" applyProtection="1">
      <alignment horizontal="center" vertical="center"/>
      <protection locked="0"/>
    </xf>
    <xf numFmtId="0" fontId="58" fillId="7" borderId="12" xfId="0" applyFont="1" applyFill="1" applyBorder="1" applyAlignment="1" applyProtection="1">
      <alignment horizontal="center" vertical="center"/>
      <protection locked="0"/>
    </xf>
    <xf numFmtId="0" fontId="58" fillId="10" borderId="1" xfId="0" applyFont="1" applyFill="1" applyBorder="1" applyAlignment="1" applyProtection="1">
      <alignment horizontal="center" vertical="center"/>
      <protection locked="0"/>
    </xf>
    <xf numFmtId="0" fontId="58" fillId="10" borderId="12" xfId="0" applyFont="1" applyFill="1" applyBorder="1" applyAlignment="1" applyProtection="1">
      <alignment horizontal="center" vertical="center"/>
      <protection locked="0"/>
    </xf>
    <xf numFmtId="4" fontId="63" fillId="0" borderId="0" xfId="0" applyNumberFormat="1" applyFont="1" applyFill="1" applyAlignment="1" applyProtection="1">
      <alignment vertical="center"/>
      <protection locked="0"/>
    </xf>
    <xf numFmtId="49" fontId="58" fillId="6" borderId="14" xfId="0" applyNumberFormat="1" applyFont="1" applyFill="1" applyBorder="1" applyAlignment="1" applyProtection="1">
      <alignment horizontal="center" vertical="center"/>
    </xf>
    <xf numFmtId="4" fontId="58" fillId="6" borderId="14" xfId="0" applyNumberFormat="1" applyFont="1" applyFill="1" applyBorder="1" applyAlignment="1" applyProtection="1">
      <alignment horizontal="center" vertical="center"/>
    </xf>
    <xf numFmtId="4" fontId="58" fillId="6" borderId="14" xfId="0" applyNumberFormat="1" applyFont="1" applyFill="1" applyBorder="1" applyAlignment="1" applyProtection="1">
      <alignment vertical="center"/>
    </xf>
    <xf numFmtId="0" fontId="58" fillId="7" borderId="14" xfId="0" applyFont="1" applyFill="1" applyBorder="1" applyAlignment="1" applyProtection="1">
      <alignment vertical="center"/>
    </xf>
    <xf numFmtId="4" fontId="58" fillId="7" borderId="14" xfId="0" applyNumberFormat="1" applyFont="1" applyFill="1" applyBorder="1" applyAlignment="1" applyProtection="1">
      <alignment vertical="center"/>
    </xf>
    <xf numFmtId="49" fontId="58" fillId="10" borderId="9" xfId="0" applyNumberFormat="1" applyFont="1" applyFill="1" applyBorder="1" applyAlignment="1" applyProtection="1">
      <alignment horizontal="left" vertical="center"/>
    </xf>
    <xf numFmtId="4" fontId="58" fillId="10" borderId="14" xfId="0" applyNumberFormat="1" applyFont="1" applyFill="1" applyBorder="1" applyAlignment="1" applyProtection="1">
      <alignment vertical="center"/>
    </xf>
    <xf numFmtId="0" fontId="56" fillId="0" borderId="0" xfId="0" applyFont="1" applyBorder="1" applyAlignment="1" applyProtection="1">
      <alignment horizontal="center" vertical="center"/>
      <protection locked="0"/>
    </xf>
    <xf numFmtId="0" fontId="58" fillId="8" borderId="45" xfId="0" applyFont="1" applyFill="1" applyBorder="1" applyAlignment="1" applyProtection="1">
      <alignment horizontal="center" vertical="center"/>
      <protection locked="0"/>
    </xf>
    <xf numFmtId="0" fontId="58" fillId="4" borderId="82" xfId="0" applyFont="1" applyFill="1" applyBorder="1" applyAlignment="1" applyProtection="1">
      <alignment horizontal="center" vertical="center"/>
      <protection locked="0"/>
    </xf>
    <xf numFmtId="0" fontId="58" fillId="11" borderId="46" xfId="0" applyFont="1" applyFill="1" applyBorder="1" applyAlignment="1" applyProtection="1">
      <alignment horizontal="center" vertical="center"/>
      <protection locked="0"/>
    </xf>
    <xf numFmtId="0" fontId="58" fillId="6" borderId="80" xfId="0" applyFont="1" applyFill="1" applyBorder="1" applyAlignment="1" applyProtection="1">
      <alignment horizontal="center" vertical="center"/>
      <protection locked="0"/>
    </xf>
    <xf numFmtId="0" fontId="58" fillId="7" borderId="46" xfId="0" applyFont="1" applyFill="1" applyBorder="1" applyAlignment="1" applyProtection="1">
      <alignment horizontal="center" vertical="center"/>
      <protection locked="0"/>
    </xf>
    <xf numFmtId="0" fontId="58" fillId="10" borderId="53" xfId="0" applyFont="1" applyFill="1" applyBorder="1" applyAlignment="1" applyProtection="1">
      <alignment horizontal="center" vertical="center"/>
      <protection locked="0"/>
    </xf>
    <xf numFmtId="4" fontId="63" fillId="0" borderId="47" xfId="0" applyNumberFormat="1" applyFont="1" applyBorder="1" applyAlignment="1" applyProtection="1">
      <alignment horizontal="center" vertical="center"/>
      <protection locked="0"/>
    </xf>
    <xf numFmtId="4" fontId="63" fillId="0" borderId="48" xfId="0" applyNumberFormat="1" applyFont="1" applyBorder="1" applyAlignment="1" applyProtection="1">
      <alignment horizontal="center" vertical="center"/>
      <protection locked="0"/>
    </xf>
    <xf numFmtId="4" fontId="63" fillId="0" borderId="52" xfId="0" applyNumberFormat="1" applyFont="1" applyBorder="1" applyAlignment="1" applyProtection="1">
      <alignment horizontal="center" vertical="center"/>
      <protection locked="0"/>
    </xf>
    <xf numFmtId="0" fontId="53" fillId="0" borderId="16" xfId="0" applyFont="1" applyBorder="1" applyAlignment="1" applyProtection="1">
      <alignment horizontal="center" vertical="center"/>
      <protection locked="0"/>
    </xf>
    <xf numFmtId="10" fontId="58" fillId="48" borderId="75" xfId="0" applyNumberFormat="1" applyFont="1" applyFill="1" applyBorder="1" applyAlignment="1" applyProtection="1">
      <alignment horizontal="center" vertical="center" wrapText="1"/>
      <protection locked="0"/>
    </xf>
    <xf numFmtId="14" fontId="56" fillId="52" borderId="76" xfId="0" applyNumberFormat="1" applyFont="1" applyFill="1" applyBorder="1" applyAlignment="1" applyProtection="1">
      <alignment horizontal="center" vertical="center" wrapText="1"/>
      <protection locked="0"/>
    </xf>
    <xf numFmtId="14" fontId="58" fillId="48" borderId="74" xfId="0" applyNumberFormat="1" applyFont="1" applyFill="1" applyBorder="1" applyAlignment="1" applyProtection="1">
      <alignment horizontal="center" vertical="center" wrapText="1"/>
      <protection locked="0"/>
    </xf>
    <xf numFmtId="14" fontId="58" fillId="48" borderId="73" xfId="0" applyNumberFormat="1" applyFont="1" applyFill="1" applyBorder="1" applyAlignment="1" applyProtection="1">
      <alignment horizontal="center" vertical="center" wrapText="1"/>
      <protection locked="0"/>
    </xf>
    <xf numFmtId="0" fontId="74" fillId="0" borderId="0" xfId="0" applyFont="1" applyProtection="1"/>
    <xf numFmtId="0" fontId="63" fillId="0" borderId="7" xfId="0" applyFont="1" applyBorder="1" applyAlignment="1" applyProtection="1">
      <alignment vertical="center"/>
    </xf>
    <xf numFmtId="0" fontId="79" fillId="0" borderId="0" xfId="0" applyFont="1" applyProtection="1"/>
    <xf numFmtId="0" fontId="63" fillId="0" borderId="0" xfId="0" applyFont="1" applyProtection="1"/>
    <xf numFmtId="14" fontId="63" fillId="0" borderId="0" xfId="0" applyNumberFormat="1" applyFont="1" applyAlignment="1" applyProtection="1">
      <alignment horizontal="right" vertical="center"/>
    </xf>
    <xf numFmtId="0" fontId="56" fillId="45" borderId="0" xfId="0" applyFont="1" applyFill="1" applyBorder="1" applyAlignment="1" applyProtection="1">
      <alignment horizontal="center" vertical="center" wrapText="1"/>
      <protection locked="0"/>
    </xf>
    <xf numFmtId="0" fontId="56" fillId="45" borderId="86" xfId="0" applyFont="1" applyFill="1" applyBorder="1" applyAlignment="1" applyProtection="1">
      <alignment horizontal="center" vertical="center" wrapText="1"/>
      <protection locked="0"/>
    </xf>
    <xf numFmtId="2" fontId="56" fillId="45" borderId="12" xfId="0" applyNumberFormat="1" applyFont="1" applyFill="1" applyBorder="1" applyAlignment="1" applyProtection="1">
      <alignment horizontal="center" vertical="center" wrapText="1"/>
    </xf>
    <xf numFmtId="2" fontId="56" fillId="45" borderId="1" xfId="0" applyNumberFormat="1" applyFont="1" applyFill="1" applyBorder="1" applyAlignment="1" applyProtection="1">
      <alignment horizontal="center" vertical="center" wrapText="1"/>
    </xf>
    <xf numFmtId="4" fontId="56" fillId="45" borderId="56" xfId="0" applyNumberFormat="1" applyFont="1" applyFill="1" applyBorder="1" applyAlignment="1" applyProtection="1">
      <alignment horizontal="center" vertical="center" wrapText="1"/>
    </xf>
    <xf numFmtId="4" fontId="56" fillId="45" borderId="57" xfId="0" applyNumberFormat="1" applyFont="1" applyFill="1" applyBorder="1" applyAlignment="1" applyProtection="1">
      <alignment horizontal="center" vertical="center" wrapText="1"/>
    </xf>
    <xf numFmtId="2" fontId="56" fillId="45" borderId="58" xfId="0" applyNumberFormat="1" applyFont="1" applyFill="1" applyBorder="1" applyAlignment="1" applyProtection="1">
      <alignment horizontal="center" vertical="center" wrapText="1"/>
    </xf>
    <xf numFmtId="2" fontId="56" fillId="45" borderId="3" xfId="0" applyNumberFormat="1" applyFont="1" applyFill="1" applyBorder="1" applyAlignment="1" applyProtection="1">
      <alignment horizontal="center" vertical="center" wrapText="1"/>
    </xf>
    <xf numFmtId="169" fontId="74" fillId="0" borderId="33" xfId="0" applyNumberFormat="1" applyFont="1" applyFill="1" applyBorder="1" applyAlignment="1" applyProtection="1">
      <alignment horizontal="center" vertical="center"/>
    </xf>
    <xf numFmtId="169" fontId="74" fillId="0" borderId="35" xfId="0" applyNumberFormat="1" applyFont="1" applyFill="1" applyBorder="1" applyAlignment="1" applyProtection="1">
      <alignment horizontal="center" vertical="center"/>
    </xf>
    <xf numFmtId="169" fontId="74" fillId="0" borderId="39" xfId="0" applyNumberFormat="1" applyFont="1" applyFill="1" applyBorder="1" applyAlignment="1" applyProtection="1">
      <alignment horizontal="center" vertical="center"/>
    </xf>
    <xf numFmtId="0" fontId="56" fillId="45" borderId="9" xfId="0" applyFont="1" applyFill="1" applyBorder="1" applyAlignment="1" applyProtection="1">
      <alignment horizontal="center" vertical="center"/>
    </xf>
    <xf numFmtId="1" fontId="56" fillId="45" borderId="15" xfId="0" applyNumberFormat="1" applyFont="1" applyFill="1" applyBorder="1" applyAlignment="1" applyProtection="1">
      <alignment horizontal="center" vertical="center"/>
    </xf>
    <xf numFmtId="4" fontId="56" fillId="45" borderId="59" xfId="0" applyNumberFormat="1" applyFont="1" applyFill="1" applyBorder="1" applyAlignment="1" applyProtection="1">
      <alignment vertical="center"/>
    </xf>
    <xf numFmtId="4" fontId="56" fillId="45" borderId="60" xfId="0" applyNumberFormat="1" applyFont="1" applyFill="1" applyBorder="1" applyAlignment="1" applyProtection="1">
      <alignment vertical="center"/>
    </xf>
    <xf numFmtId="4" fontId="56" fillId="45" borderId="61" xfId="0" applyNumberFormat="1" applyFont="1" applyFill="1" applyBorder="1" applyAlignment="1" applyProtection="1">
      <alignment vertical="center"/>
    </xf>
    <xf numFmtId="0" fontId="75" fillId="0" borderId="0" xfId="0" applyFont="1" applyAlignment="1" applyProtection="1">
      <alignment vertical="center"/>
      <protection locked="0"/>
    </xf>
    <xf numFmtId="4" fontId="56" fillId="45" borderId="14" xfId="0" applyNumberFormat="1" applyFont="1" applyFill="1" applyBorder="1" applyAlignment="1" applyProtection="1">
      <alignment vertical="center"/>
    </xf>
    <xf numFmtId="2" fontId="63" fillId="0" borderId="0" xfId="0" applyNumberFormat="1" applyFont="1" applyProtection="1"/>
    <xf numFmtId="1" fontId="63" fillId="0" borderId="34" xfId="0" applyNumberFormat="1" applyFont="1" applyBorder="1" applyAlignment="1">
      <alignment horizontal="center" vertical="center"/>
    </xf>
    <xf numFmtId="4" fontId="63" fillId="0" borderId="45" xfId="0" applyNumberFormat="1" applyFont="1" applyBorder="1" applyAlignment="1">
      <alignment vertical="center"/>
    </xf>
    <xf numFmtId="4" fontId="63" fillId="0" borderId="46" xfId="0" applyNumberFormat="1" applyFont="1" applyBorder="1" applyAlignment="1">
      <alignment vertical="center"/>
    </xf>
    <xf numFmtId="4" fontId="63" fillId="0" borderId="53" xfId="0" applyNumberFormat="1" applyFont="1" applyBorder="1" applyAlignment="1">
      <alignment vertical="center"/>
    </xf>
    <xf numFmtId="3" fontId="63" fillId="0" borderId="45" xfId="0" applyNumberFormat="1" applyFont="1" applyFill="1" applyBorder="1" applyAlignment="1" applyProtection="1">
      <alignment horizontal="center" vertical="center"/>
      <protection locked="0"/>
    </xf>
    <xf numFmtId="1" fontId="63" fillId="0" borderId="36" xfId="0" applyNumberFormat="1" applyFont="1" applyBorder="1" applyAlignment="1">
      <alignment horizontal="center" vertical="center"/>
    </xf>
    <xf numFmtId="4" fontId="63" fillId="0" borderId="54" xfId="0" applyNumberFormat="1" applyFont="1" applyBorder="1" applyAlignment="1">
      <alignment vertical="center"/>
    </xf>
    <xf numFmtId="4" fontId="63" fillId="0" borderId="43" xfId="0" applyNumberFormat="1" applyFont="1" applyBorder="1" applyAlignment="1">
      <alignment vertical="center"/>
    </xf>
    <xf numFmtId="4" fontId="63" fillId="0" borderId="55" xfId="0" applyNumberFormat="1" applyFont="1" applyBorder="1" applyAlignment="1">
      <alignment vertical="center"/>
    </xf>
    <xf numFmtId="3" fontId="63" fillId="0" borderId="54" xfId="0" applyNumberFormat="1" applyFont="1" applyFill="1" applyBorder="1" applyAlignment="1" applyProtection="1">
      <alignment horizontal="center" vertical="center"/>
      <protection locked="0"/>
    </xf>
    <xf numFmtId="1" fontId="63" fillId="0" borderId="37" xfId="0" applyNumberFormat="1" applyFont="1" applyBorder="1" applyAlignment="1">
      <alignment horizontal="center" vertical="center"/>
    </xf>
    <xf numFmtId="4" fontId="63" fillId="0" borderId="47" xfId="0" applyNumberFormat="1" applyFont="1" applyBorder="1" applyAlignment="1">
      <alignment vertical="center"/>
    </xf>
    <xf numFmtId="4" fontId="63" fillId="0" borderId="48" xfId="0" applyNumberFormat="1" applyFont="1" applyBorder="1" applyAlignment="1">
      <alignment vertical="center"/>
    </xf>
    <xf numFmtId="4" fontId="63" fillId="0" borderId="52" xfId="0" applyNumberFormat="1" applyFont="1" applyBorder="1" applyAlignment="1">
      <alignment vertical="center"/>
    </xf>
    <xf numFmtId="3" fontId="63" fillId="0" borderId="47" xfId="0" applyNumberFormat="1" applyFont="1" applyFill="1" applyBorder="1" applyAlignment="1" applyProtection="1">
      <alignment horizontal="center" vertical="center"/>
      <protection locked="0"/>
    </xf>
    <xf numFmtId="49" fontId="58" fillId="2" borderId="14" xfId="0" applyNumberFormat="1" applyFont="1" applyFill="1" applyBorder="1" applyAlignment="1" applyProtection="1">
      <alignment horizontal="center"/>
      <protection locked="0"/>
    </xf>
    <xf numFmtId="4" fontId="63" fillId="0" borderId="38" xfId="2" applyNumberFormat="1" applyFont="1" applyFill="1" applyBorder="1" applyAlignment="1" applyProtection="1"/>
    <xf numFmtId="2" fontId="56" fillId="2" borderId="12" xfId="0" applyNumberFormat="1" applyFont="1" applyFill="1" applyBorder="1" applyAlignment="1" applyProtection="1">
      <alignment horizontal="center" vertical="center"/>
      <protection locked="0"/>
    </xf>
    <xf numFmtId="2" fontId="63" fillId="2" borderId="13" xfId="0" applyNumberFormat="1" applyFont="1" applyFill="1" applyBorder="1" applyAlignment="1">
      <alignment vertical="center"/>
    </xf>
    <xf numFmtId="2" fontId="56" fillId="2" borderId="12" xfId="0" applyNumberFormat="1" applyFont="1" applyFill="1" applyBorder="1" applyAlignment="1" applyProtection="1">
      <alignment horizontal="center" vertical="center" wrapText="1"/>
      <protection locked="0"/>
    </xf>
    <xf numFmtId="2" fontId="56" fillId="2" borderId="3" xfId="0" applyNumberFormat="1" applyFont="1" applyFill="1" applyBorder="1" applyAlignment="1" applyProtection="1">
      <alignment horizontal="center" vertical="center" wrapText="1"/>
      <protection locked="0"/>
    </xf>
    <xf numFmtId="1" fontId="63" fillId="0" borderId="33" xfId="0" applyNumberFormat="1" applyFont="1" applyBorder="1" applyAlignment="1" applyProtection="1">
      <alignment horizontal="center" vertical="center"/>
    </xf>
    <xf numFmtId="0" fontId="63" fillId="0" borderId="80" xfId="0" applyFont="1" applyBorder="1" applyAlignment="1" applyProtection="1">
      <alignment vertical="center"/>
    </xf>
    <xf numFmtId="0" fontId="63" fillId="0" borderId="46" xfId="0" applyFont="1" applyBorder="1" applyAlignment="1" applyProtection="1">
      <alignment vertical="center"/>
    </xf>
    <xf numFmtId="0" fontId="63" fillId="0" borderId="82" xfId="0" applyFont="1" applyBorder="1" applyAlignment="1" applyProtection="1">
      <alignment vertical="center"/>
    </xf>
    <xf numFmtId="4" fontId="63" fillId="0" borderId="80" xfId="0" applyNumberFormat="1" applyFont="1" applyBorder="1" applyAlignment="1" applyProtection="1">
      <alignment vertical="center"/>
    </xf>
    <xf numFmtId="1" fontId="63" fillId="0" borderId="35" xfId="0" applyNumberFormat="1" applyFont="1" applyBorder="1" applyAlignment="1" applyProtection="1">
      <alignment horizontal="center" vertical="center"/>
    </xf>
    <xf numFmtId="0" fontId="63" fillId="0" borderId="44" xfId="0" applyFont="1" applyBorder="1" applyAlignment="1" applyProtection="1">
      <alignment vertical="center"/>
    </xf>
    <xf numFmtId="0" fontId="63" fillId="0" borderId="43" xfId="0" applyFont="1" applyBorder="1" applyAlignment="1" applyProtection="1">
      <alignment vertical="center"/>
    </xf>
    <xf numFmtId="0" fontId="63" fillId="0" borderId="50" xfId="0" applyFont="1" applyBorder="1" applyAlignment="1" applyProtection="1">
      <alignment vertical="center"/>
    </xf>
    <xf numFmtId="4" fontId="63" fillId="0" borderId="44" xfId="0" applyNumberFormat="1" applyFont="1" applyBorder="1" applyAlignment="1" applyProtection="1">
      <alignment vertical="center"/>
    </xf>
    <xf numFmtId="1" fontId="63" fillId="0" borderId="39" xfId="0" applyNumberFormat="1" applyFont="1" applyBorder="1" applyAlignment="1" applyProtection="1">
      <alignment horizontal="center" vertical="center"/>
    </xf>
    <xf numFmtId="0" fontId="63" fillId="0" borderId="81" xfId="0" applyFont="1" applyBorder="1" applyAlignment="1" applyProtection="1">
      <alignment vertical="center"/>
    </xf>
    <xf numFmtId="0" fontId="63" fillId="0" borderId="48" xfId="0" applyFont="1" applyBorder="1" applyAlignment="1" applyProtection="1">
      <alignment vertical="center"/>
    </xf>
    <xf numFmtId="0" fontId="63" fillId="0" borderId="49" xfId="0" applyFont="1" applyBorder="1" applyAlignment="1" applyProtection="1">
      <alignment vertical="center"/>
    </xf>
    <xf numFmtId="4" fontId="63" fillId="0" borderId="81" xfId="0" applyNumberFormat="1" applyFont="1" applyBorder="1" applyAlignment="1" applyProtection="1">
      <alignment vertical="center"/>
    </xf>
    <xf numFmtId="0" fontId="56" fillId="2" borderId="14" xfId="0" applyFont="1" applyFill="1" applyBorder="1" applyAlignment="1" applyProtection="1">
      <alignment horizontal="center" vertical="center"/>
    </xf>
    <xf numFmtId="1" fontId="56" fillId="2" borderId="14" xfId="0" applyNumberFormat="1" applyFont="1" applyFill="1" applyBorder="1" applyAlignment="1" applyProtection="1">
      <alignment horizontal="center" vertical="center"/>
    </xf>
    <xf numFmtId="0" fontId="56" fillId="2" borderId="14" xfId="0" applyFont="1" applyFill="1" applyBorder="1" applyAlignment="1" applyProtection="1">
      <alignment vertical="center"/>
    </xf>
    <xf numFmtId="4" fontId="56" fillId="2" borderId="9" xfId="0" applyNumberFormat="1" applyFont="1" applyFill="1" applyBorder="1" applyAlignment="1" applyProtection="1">
      <alignment vertical="center"/>
    </xf>
    <xf numFmtId="4" fontId="56" fillId="2" borderId="11" xfId="0" applyNumberFormat="1" applyFont="1" applyFill="1" applyBorder="1" applyAlignment="1" applyProtection="1">
      <alignment vertical="center"/>
    </xf>
    <xf numFmtId="4" fontId="56" fillId="2" borderId="14" xfId="0" applyNumberFormat="1" applyFont="1" applyFill="1" applyBorder="1" applyAlignment="1" applyProtection="1">
      <alignment vertical="center"/>
    </xf>
    <xf numFmtId="4" fontId="63" fillId="0" borderId="83" xfId="0" applyNumberFormat="1" applyFont="1" applyBorder="1" applyAlignment="1" applyProtection="1">
      <alignment horizontal="right"/>
    </xf>
    <xf numFmtId="4" fontId="63" fillId="0" borderId="51" xfId="0" applyNumberFormat="1" applyFont="1" applyBorder="1" applyAlignment="1" applyProtection="1">
      <alignment horizontal="right"/>
    </xf>
    <xf numFmtId="4" fontId="63" fillId="0" borderId="84" xfId="0" applyNumberFormat="1" applyFont="1" applyBorder="1" applyAlignment="1" applyProtection="1">
      <alignment horizontal="right"/>
    </xf>
    <xf numFmtId="0" fontId="83" fillId="0" borderId="0" xfId="0" applyFont="1" applyProtection="1">
      <protection locked="0"/>
    </xf>
    <xf numFmtId="0" fontId="62" fillId="46" borderId="45" xfId="3" applyFont="1" applyFill="1" applyBorder="1" applyAlignment="1" applyProtection="1">
      <alignment horizontal="center" vertical="center" wrapText="1"/>
      <protection locked="0"/>
    </xf>
    <xf numFmtId="0" fontId="62" fillId="46" borderId="46" xfId="3" applyFont="1" applyFill="1" applyBorder="1" applyAlignment="1" applyProtection="1">
      <alignment horizontal="center" vertical="center" wrapText="1"/>
      <protection locked="0"/>
    </xf>
    <xf numFmtId="0" fontId="62" fillId="46" borderId="15" xfId="3" applyFont="1" applyFill="1" applyBorder="1" applyAlignment="1" applyProtection="1">
      <alignment horizontal="center" vertical="center" wrapText="1"/>
      <protection locked="0"/>
    </xf>
    <xf numFmtId="0" fontId="62" fillId="46" borderId="47" xfId="3" applyFont="1" applyFill="1" applyBorder="1" applyAlignment="1" applyProtection="1">
      <alignment horizontal="center" vertical="center" wrapText="1"/>
    </xf>
    <xf numFmtId="0" fontId="62" fillId="46" borderId="48" xfId="3" applyFont="1" applyFill="1" applyBorder="1" applyAlignment="1" applyProtection="1">
      <alignment horizontal="center" vertical="center" wrapText="1"/>
    </xf>
    <xf numFmtId="0" fontId="62" fillId="46" borderId="49" xfId="3" applyFont="1" applyFill="1" applyBorder="1" applyAlignment="1" applyProtection="1">
      <alignment horizontal="center" vertical="center" wrapText="1"/>
    </xf>
    <xf numFmtId="0" fontId="63" fillId="47" borderId="41" xfId="0" applyFont="1" applyFill="1" applyBorder="1" applyAlignment="1" applyProtection="1">
      <alignment horizontal="center" vertical="center"/>
    </xf>
    <xf numFmtId="1" fontId="63" fillId="0" borderId="8" xfId="0" applyNumberFormat="1" applyFont="1" applyBorder="1" applyAlignment="1" applyProtection="1">
      <alignment horizontal="right"/>
      <protection locked="0"/>
    </xf>
    <xf numFmtId="1" fontId="63" fillId="0" borderId="0" xfId="0" applyNumberFormat="1" applyFont="1" applyBorder="1" applyAlignment="1" applyProtection="1">
      <alignment horizontal="right"/>
      <protection locked="0"/>
    </xf>
    <xf numFmtId="4" fontId="56" fillId="2" borderId="4" xfId="0" applyNumberFormat="1" applyFont="1" applyFill="1" applyBorder="1" applyAlignment="1" applyProtection="1">
      <alignment horizontal="center"/>
    </xf>
    <xf numFmtId="0" fontId="58" fillId="2" borderId="1" xfId="0" applyFont="1" applyFill="1" applyBorder="1" applyAlignment="1" applyProtection="1">
      <alignment vertical="center"/>
      <protection locked="0"/>
    </xf>
    <xf numFmtId="170" fontId="56" fillId="0" borderId="3" xfId="0" applyNumberFormat="1" applyFont="1" applyBorder="1" applyAlignment="1" applyProtection="1">
      <alignment horizontal="center" vertical="center"/>
    </xf>
    <xf numFmtId="0" fontId="58" fillId="2" borderId="9" xfId="0" applyFont="1" applyFill="1" applyBorder="1" applyAlignment="1" applyProtection="1">
      <alignment vertical="center"/>
      <protection locked="0"/>
    </xf>
    <xf numFmtId="170" fontId="56" fillId="0" borderId="11" xfId="0" applyNumberFormat="1" applyFont="1" applyBorder="1" applyAlignment="1" applyProtection="1">
      <alignment horizontal="center" vertical="center"/>
    </xf>
    <xf numFmtId="170" fontId="56" fillId="0" borderId="0" xfId="0" applyNumberFormat="1" applyFont="1" applyBorder="1" applyAlignment="1" applyProtection="1">
      <alignment horizontal="center" vertical="center"/>
    </xf>
    <xf numFmtId="170" fontId="58" fillId="8" borderId="12" xfId="0" applyNumberFormat="1" applyFont="1" applyFill="1" applyBorder="1" applyAlignment="1" applyProtection="1">
      <alignment horizontal="center" vertical="center"/>
    </xf>
    <xf numFmtId="166" fontId="58" fillId="8" borderId="12" xfId="0" applyNumberFormat="1" applyFont="1" applyFill="1" applyBorder="1" applyAlignment="1" applyProtection="1">
      <alignment horizontal="center" vertical="center"/>
    </xf>
    <xf numFmtId="0" fontId="58" fillId="8" borderId="12" xfId="0" applyFont="1" applyFill="1" applyBorder="1" applyAlignment="1" applyProtection="1">
      <alignment horizontal="center" vertical="center"/>
    </xf>
    <xf numFmtId="0" fontId="58" fillId="4" borderId="12" xfId="0" applyFont="1" applyFill="1" applyBorder="1" applyAlignment="1" applyProtection="1">
      <alignment horizontal="center"/>
    </xf>
    <xf numFmtId="0" fontId="58" fillId="11" borderId="1" xfId="0" applyFont="1" applyFill="1" applyBorder="1" applyAlignment="1" applyProtection="1">
      <alignment horizontal="center"/>
    </xf>
    <xf numFmtId="0" fontId="58" fillId="11" borderId="12" xfId="0" applyFont="1" applyFill="1" applyBorder="1" applyAlignment="1" applyProtection="1">
      <alignment horizontal="center"/>
    </xf>
    <xf numFmtId="49" fontId="58" fillId="9" borderId="14" xfId="0" applyNumberFormat="1" applyFont="1" applyFill="1" applyBorder="1" applyAlignment="1" applyProtection="1">
      <alignment horizontal="center"/>
    </xf>
    <xf numFmtId="4" fontId="58" fillId="9" borderId="14" xfId="0" applyNumberFormat="1" applyFont="1" applyFill="1" applyBorder="1" applyAlignment="1" applyProtection="1">
      <alignment horizontal="center"/>
    </xf>
    <xf numFmtId="4" fontId="58" fillId="9" borderId="14" xfId="0" applyNumberFormat="1" applyFont="1" applyFill="1" applyBorder="1" applyProtection="1"/>
    <xf numFmtId="49" fontId="58" fillId="11" borderId="14" xfId="0" applyNumberFormat="1" applyFont="1" applyFill="1" applyBorder="1" applyAlignment="1" applyProtection="1">
      <alignment horizontal="center"/>
    </xf>
    <xf numFmtId="4" fontId="58" fillId="11" borderId="14" xfId="0" applyNumberFormat="1" applyFont="1" applyFill="1" applyBorder="1" applyProtection="1"/>
    <xf numFmtId="4" fontId="58" fillId="2" borderId="15" xfId="0" applyNumberFormat="1" applyFont="1" applyFill="1" applyBorder="1" applyAlignment="1" applyProtection="1">
      <alignment horizontal="right"/>
      <protection locked="0"/>
    </xf>
    <xf numFmtId="170" fontId="58" fillId="6" borderId="12" xfId="0" applyNumberFormat="1" applyFont="1" applyFill="1" applyBorder="1" applyAlignment="1" applyProtection="1">
      <alignment horizontal="center" vertical="center"/>
    </xf>
    <xf numFmtId="166" fontId="58" fillId="6" borderId="12" xfId="0" applyNumberFormat="1" applyFont="1" applyFill="1" applyBorder="1" applyAlignment="1" applyProtection="1">
      <alignment horizontal="center"/>
    </xf>
    <xf numFmtId="0" fontId="58" fillId="6" borderId="12" xfId="0" applyFont="1" applyFill="1" applyBorder="1" applyAlignment="1" applyProtection="1">
      <alignment horizontal="center"/>
    </xf>
    <xf numFmtId="0" fontId="58" fillId="7" borderId="12" xfId="0" applyFont="1" applyFill="1" applyBorder="1" applyAlignment="1" applyProtection="1">
      <alignment horizontal="center"/>
    </xf>
    <xf numFmtId="0" fontId="58" fillId="10" borderId="12" xfId="0" applyFont="1" applyFill="1" applyBorder="1" applyAlignment="1" applyProtection="1">
      <alignment horizontal="center"/>
    </xf>
    <xf numFmtId="49" fontId="58" fillId="6" borderId="14" xfId="0" applyNumberFormat="1" applyFont="1" applyFill="1" applyBorder="1" applyAlignment="1" applyProtection="1">
      <alignment horizontal="center"/>
    </xf>
    <xf numFmtId="4" fontId="58" fillId="6" borderId="14" xfId="0" applyNumberFormat="1" applyFont="1" applyFill="1" applyBorder="1" applyAlignment="1" applyProtection="1">
      <alignment horizontal="center"/>
    </xf>
    <xf numFmtId="4" fontId="58" fillId="6" borderId="14" xfId="0" applyNumberFormat="1" applyFont="1" applyFill="1" applyBorder="1" applyProtection="1"/>
    <xf numFmtId="0" fontId="58" fillId="7" borderId="14" xfId="0" applyFont="1" applyFill="1" applyBorder="1" applyAlignment="1" applyProtection="1"/>
    <xf numFmtId="4" fontId="58" fillId="7" borderId="14" xfId="0" applyNumberFormat="1" applyFont="1" applyFill="1" applyBorder="1" applyProtection="1"/>
    <xf numFmtId="49" fontId="58" fillId="10" borderId="9" xfId="0" applyNumberFormat="1" applyFont="1" applyFill="1" applyBorder="1" applyAlignment="1" applyProtection="1">
      <alignment horizontal="left"/>
    </xf>
    <xf numFmtId="4" fontId="58" fillId="10" borderId="14" xfId="0" applyNumberFormat="1" applyFont="1" applyFill="1" applyBorder="1" applyProtection="1"/>
    <xf numFmtId="0" fontId="58" fillId="48" borderId="74" xfId="0" applyNumberFormat="1" applyFont="1" applyFill="1" applyBorder="1" applyAlignment="1" applyProtection="1">
      <alignment horizontal="center" vertical="center" wrapText="1"/>
      <protection locked="0"/>
    </xf>
    <xf numFmtId="0" fontId="63" fillId="48" borderId="41" xfId="0" applyFont="1" applyFill="1" applyBorder="1" applyAlignment="1" applyProtection="1">
      <alignment horizontal="center" vertical="center"/>
      <protection locked="0"/>
    </xf>
    <xf numFmtId="0" fontId="63" fillId="48" borderId="0" xfId="0" applyFont="1" applyFill="1" applyProtection="1">
      <protection locked="0"/>
    </xf>
    <xf numFmtId="0" fontId="63" fillId="48" borderId="43" xfId="0" applyFont="1" applyFill="1" applyBorder="1" applyAlignment="1" applyProtection="1">
      <alignment horizontal="center" vertical="center"/>
      <protection locked="0"/>
    </xf>
    <xf numFmtId="2" fontId="58" fillId="48" borderId="15" xfId="3" applyNumberFormat="1" applyFont="1" applyFill="1" applyBorder="1" applyAlignment="1" applyProtection="1">
      <alignment horizontal="center" vertical="center" wrapText="1"/>
    </xf>
    <xf numFmtId="0" fontId="84" fillId="0" borderId="0" xfId="0" applyFont="1" applyProtection="1">
      <protection locked="0"/>
    </xf>
    <xf numFmtId="14" fontId="73" fillId="0" borderId="0" xfId="0" applyNumberFormat="1" applyFont="1"/>
    <xf numFmtId="14" fontId="63" fillId="0" borderId="0" xfId="0" applyNumberFormat="1" applyFont="1" applyAlignment="1" applyProtection="1">
      <protection locked="0"/>
    </xf>
    <xf numFmtId="0" fontId="74" fillId="0" borderId="0" xfId="0" applyFont="1" applyAlignment="1" applyProtection="1">
      <alignment horizontal="left"/>
      <protection locked="0"/>
    </xf>
    <xf numFmtId="14" fontId="56" fillId="5" borderId="6" xfId="0" applyNumberFormat="1" applyFont="1" applyFill="1" applyBorder="1" applyAlignment="1" applyProtection="1">
      <alignment horizontal="center" vertical="center"/>
    </xf>
    <xf numFmtId="14" fontId="56" fillId="5" borderId="5" xfId="0" quotePrefix="1" applyNumberFormat="1" applyFont="1" applyFill="1" applyBorder="1" applyAlignment="1" applyProtection="1">
      <alignment horizontal="center" vertical="center"/>
    </xf>
    <xf numFmtId="14" fontId="56" fillId="5" borderId="5" xfId="0" applyNumberFormat="1" applyFont="1" applyFill="1" applyBorder="1" applyAlignment="1" applyProtection="1">
      <alignment horizontal="center" vertical="center"/>
    </xf>
    <xf numFmtId="0" fontId="56" fillId="5" borderId="0" xfId="0" applyFont="1" applyFill="1" applyBorder="1" applyAlignment="1" applyProtection="1">
      <alignment horizontal="center"/>
    </xf>
    <xf numFmtId="10" fontId="56" fillId="5" borderId="0" xfId="0" applyNumberFormat="1" applyFont="1" applyFill="1" applyBorder="1" applyAlignment="1" applyProtection="1">
      <alignment horizontal="center"/>
    </xf>
    <xf numFmtId="14" fontId="56" fillId="5" borderId="4" xfId="0" applyNumberFormat="1" applyFont="1" applyFill="1" applyBorder="1" applyAlignment="1" applyProtection="1">
      <alignment horizontal="center" vertical="center"/>
    </xf>
    <xf numFmtId="0" fontId="72" fillId="50" borderId="29" xfId="0" applyFont="1" applyFill="1" applyBorder="1" applyAlignment="1">
      <alignment horizontal="center" vertical="center" wrapText="1"/>
    </xf>
    <xf numFmtId="0" fontId="46" fillId="50" borderId="41" xfId="0" applyFont="1" applyFill="1" applyBorder="1" applyAlignment="1">
      <alignment vertical="center"/>
    </xf>
    <xf numFmtId="0" fontId="41" fillId="50" borderId="29" xfId="0" applyFont="1" applyFill="1" applyBorder="1" applyAlignment="1">
      <alignment horizontal="left" vertical="top" wrapText="1"/>
    </xf>
    <xf numFmtId="0" fontId="41" fillId="50" borderId="26" xfId="0" applyFont="1" applyFill="1" applyBorder="1" applyAlignment="1">
      <alignment horizontal="left" vertical="top" wrapText="1"/>
    </xf>
    <xf numFmtId="0" fontId="41" fillId="50" borderId="26" xfId="0" applyFont="1" applyFill="1" applyBorder="1" applyAlignment="1">
      <alignment horizontal="left" vertical="center" wrapText="1"/>
    </xf>
    <xf numFmtId="0" fontId="41" fillId="50" borderId="31" xfId="0" applyFont="1" applyFill="1" applyBorder="1" applyAlignment="1">
      <alignment horizontal="left" vertical="top" wrapText="1"/>
    </xf>
    <xf numFmtId="0" fontId="41" fillId="50" borderId="28" xfId="0" applyFont="1" applyFill="1" applyBorder="1" applyAlignment="1">
      <alignment horizontal="left" vertical="top" wrapText="1"/>
    </xf>
    <xf numFmtId="0" fontId="41" fillId="53" borderId="32" xfId="0" applyFont="1" applyFill="1" applyBorder="1" applyAlignment="1">
      <alignment horizontal="left" vertical="top" wrapText="1"/>
    </xf>
    <xf numFmtId="0" fontId="41" fillId="53" borderId="31" xfId="0" applyFont="1" applyFill="1" applyBorder="1" applyAlignment="1">
      <alignment horizontal="left" vertical="top" wrapText="1"/>
    </xf>
    <xf numFmtId="0" fontId="41" fillId="53" borderId="28" xfId="0" applyFont="1" applyFill="1" applyBorder="1" applyAlignment="1">
      <alignment horizontal="left" vertical="top" wrapText="1"/>
    </xf>
    <xf numFmtId="0" fontId="69" fillId="50" borderId="29" xfId="0" applyFont="1" applyFill="1" applyBorder="1" applyAlignment="1">
      <alignment horizontal="left" vertical="center" wrapText="1"/>
    </xf>
    <xf numFmtId="0" fontId="69" fillId="50" borderId="26" xfId="0" applyFont="1" applyFill="1" applyBorder="1" applyAlignment="1">
      <alignment horizontal="left" vertical="center" wrapText="1"/>
    </xf>
    <xf numFmtId="0" fontId="69" fillId="50" borderId="31" xfId="0" applyFont="1" applyFill="1" applyBorder="1" applyAlignment="1">
      <alignment horizontal="left" vertical="center" wrapText="1"/>
    </xf>
    <xf numFmtId="0" fontId="69" fillId="50" borderId="28" xfId="0" applyFont="1" applyFill="1" applyBorder="1" applyAlignment="1">
      <alignment horizontal="left" vertical="center" wrapText="1"/>
    </xf>
    <xf numFmtId="0" fontId="66" fillId="0" borderId="0" xfId="49"/>
    <xf numFmtId="0" fontId="69" fillId="50" borderId="28" xfId="0" applyFont="1" applyFill="1" applyBorder="1" applyAlignment="1">
      <alignment horizontal="left" vertical="center" wrapText="1"/>
    </xf>
    <xf numFmtId="0" fontId="45" fillId="0" borderId="41" xfId="0" applyFont="1" applyBorder="1" applyAlignment="1">
      <alignment horizontal="center" vertical="center"/>
    </xf>
    <xf numFmtId="44" fontId="0" fillId="0" borderId="43" xfId="2" applyFont="1" applyBorder="1"/>
    <xf numFmtId="171" fontId="0" fillId="0" borderId="43" xfId="0" applyNumberFormat="1" applyBorder="1" applyAlignment="1">
      <alignment horizontal="center" vertical="center"/>
    </xf>
    <xf numFmtId="0" fontId="61" fillId="0" borderId="0" xfId="0" applyFont="1" applyAlignment="1">
      <alignment horizontal="left"/>
    </xf>
    <xf numFmtId="0" fontId="61" fillId="0" borderId="0" xfId="0" applyFont="1" applyAlignment="1">
      <alignment vertical="center"/>
    </xf>
    <xf numFmtId="44" fontId="61" fillId="43" borderId="29" xfId="50" applyFont="1" applyFill="1" applyBorder="1" applyAlignment="1">
      <alignment horizontal="left" vertical="center" wrapText="1"/>
    </xf>
    <xf numFmtId="44" fontId="61" fillId="43" borderId="29" xfId="50" applyFont="1" applyFill="1" applyBorder="1" applyAlignment="1">
      <alignment horizontal="center" vertical="center" wrapText="1"/>
    </xf>
    <xf numFmtId="0" fontId="72" fillId="50" borderId="0" xfId="0" applyFont="1" applyFill="1" applyBorder="1" applyAlignment="1">
      <alignment horizontal="left" vertical="center" wrapText="1"/>
    </xf>
    <xf numFmtId="0" fontId="72" fillId="50" borderId="94" xfId="0" applyFont="1" applyFill="1" applyBorder="1" applyAlignment="1">
      <alignment horizontal="left" vertical="center" wrapText="1"/>
    </xf>
    <xf numFmtId="0" fontId="72" fillId="50" borderId="95" xfId="0" applyFont="1" applyFill="1" applyBorder="1" applyAlignment="1">
      <alignment horizontal="left" vertical="center" wrapText="1"/>
    </xf>
    <xf numFmtId="0" fontId="72" fillId="50" borderId="0" xfId="0" applyFont="1" applyFill="1" applyBorder="1" applyAlignment="1">
      <alignment horizontal="left" vertical="center" wrapText="1"/>
    </xf>
    <xf numFmtId="44" fontId="61" fillId="43" borderId="29" xfId="50" applyFont="1" applyFill="1" applyBorder="1" applyAlignment="1">
      <alignment horizontal="center" vertical="center" wrapText="1"/>
    </xf>
    <xf numFmtId="0" fontId="72" fillId="50" borderId="91" xfId="0" applyFont="1" applyFill="1" applyBorder="1" applyAlignment="1">
      <alignment horizontal="center" vertical="center" wrapText="1"/>
    </xf>
    <xf numFmtId="10" fontId="56" fillId="2" borderId="0" xfId="0" applyNumberFormat="1" applyFont="1" applyFill="1" applyBorder="1" applyAlignment="1" applyProtection="1">
      <alignment horizontal="center"/>
    </xf>
    <xf numFmtId="0" fontId="69" fillId="50" borderId="31" xfId="0" applyFont="1" applyFill="1" applyBorder="1" applyAlignment="1">
      <alignment horizontal="left" vertical="center" wrapText="1"/>
    </xf>
    <xf numFmtId="0" fontId="0" fillId="0" borderId="41" xfId="0" applyBorder="1"/>
    <xf numFmtId="10" fontId="0" fillId="0" borderId="43" xfId="45" applyNumberFormat="1" applyFont="1" applyBorder="1"/>
    <xf numFmtId="0" fontId="94" fillId="0" borderId="0" xfId="0" applyFont="1"/>
    <xf numFmtId="0" fontId="95" fillId="0" borderId="6" xfId="0" applyFont="1" applyBorder="1"/>
    <xf numFmtId="0" fontId="94" fillId="0" borderId="5" xfId="0" applyFont="1" applyBorder="1"/>
    <xf numFmtId="0" fontId="94" fillId="0" borderId="4" xfId="0" applyFont="1" applyBorder="1"/>
    <xf numFmtId="0" fontId="95" fillId="0" borderId="15" xfId="0" applyFont="1" applyBorder="1" applyAlignment="1">
      <alignment horizontal="center"/>
    </xf>
    <xf numFmtId="0" fontId="96" fillId="50" borderId="28" xfId="0" applyFont="1" applyFill="1" applyBorder="1" applyAlignment="1">
      <alignment horizontal="left" vertical="top" wrapText="1"/>
    </xf>
    <xf numFmtId="0" fontId="96" fillId="50" borderId="26" xfId="0" applyFont="1" applyFill="1" applyBorder="1" applyAlignment="1">
      <alignment horizontal="left" vertical="top" wrapText="1"/>
    </xf>
    <xf numFmtId="10" fontId="97" fillId="43" borderId="29" xfId="2" applyNumberFormat="1" applyFont="1" applyFill="1" applyBorder="1" applyAlignment="1">
      <alignment horizontal="left" vertical="top" wrapText="1"/>
    </xf>
    <xf numFmtId="0" fontId="0" fillId="0" borderId="43" xfId="0" applyFill="1" applyBorder="1"/>
    <xf numFmtId="14" fontId="56" fillId="0" borderId="0" xfId="0" applyNumberFormat="1" applyFont="1" applyProtection="1"/>
    <xf numFmtId="0" fontId="22" fillId="0" borderId="41" xfId="0" applyFont="1" applyBorder="1" applyAlignment="1">
      <alignment horizontal="center" vertical="center" wrapText="1"/>
    </xf>
    <xf numFmtId="0" fontId="45" fillId="0" borderId="41" xfId="0" applyFont="1" applyBorder="1" applyAlignment="1">
      <alignment horizontal="center" vertical="center" wrapText="1"/>
    </xf>
    <xf numFmtId="0" fontId="63" fillId="0" borderId="0" xfId="0" applyFont="1" applyAlignment="1">
      <alignment vertical="center"/>
    </xf>
    <xf numFmtId="14" fontId="56" fillId="52" borderId="97" xfId="0" applyNumberFormat="1" applyFont="1" applyFill="1" applyBorder="1" applyAlignment="1" applyProtection="1">
      <alignment horizontal="center" vertical="center" wrapText="1"/>
      <protection locked="0"/>
    </xf>
    <xf numFmtId="10" fontId="58" fillId="48" borderId="98" xfId="0" applyNumberFormat="1" applyFont="1" applyFill="1" applyBorder="1" applyAlignment="1" applyProtection="1">
      <alignment horizontal="center" vertical="center" wrapText="1"/>
      <protection locked="0"/>
    </xf>
    <xf numFmtId="2" fontId="58" fillId="52" borderId="98" xfId="0" applyNumberFormat="1" applyFont="1" applyFill="1" applyBorder="1" applyAlignment="1" applyProtection="1">
      <alignment horizontal="center" vertical="center" wrapText="1"/>
    </xf>
    <xf numFmtId="0" fontId="0" fillId="0" borderId="0" xfId="0" applyAlignment="1">
      <alignment horizontal="center"/>
    </xf>
    <xf numFmtId="0" fontId="74" fillId="0" borderId="0" xfId="0" applyFont="1" applyProtection="1">
      <protection locked="0"/>
    </xf>
    <xf numFmtId="0" fontId="63" fillId="0" borderId="1" xfId="0" applyFont="1" applyBorder="1" applyAlignment="1" applyProtection="1">
      <alignment vertical="center"/>
    </xf>
    <xf numFmtId="14" fontId="63" fillId="45" borderId="62" xfId="0" applyNumberFormat="1" applyFont="1" applyFill="1" applyBorder="1" applyAlignment="1" applyProtection="1">
      <alignment horizontal="center" vertical="center" wrapText="1"/>
      <protection locked="0"/>
    </xf>
    <xf numFmtId="14" fontId="63" fillId="45" borderId="85" xfId="0" applyNumberFormat="1" applyFont="1" applyFill="1" applyBorder="1" applyAlignment="1" applyProtection="1">
      <alignment horizontal="center" vertical="center" wrapText="1"/>
      <protection locked="0"/>
    </xf>
    <xf numFmtId="0" fontId="63" fillId="0" borderId="9" xfId="0" applyFont="1" applyBorder="1" applyAlignment="1" applyProtection="1">
      <alignment vertical="center"/>
    </xf>
    <xf numFmtId="0" fontId="56" fillId="4" borderId="4" xfId="0" applyFont="1" applyFill="1" applyBorder="1" applyAlignment="1" applyProtection="1">
      <alignment horizontal="center" vertical="center" wrapText="1"/>
      <protection locked="0"/>
    </xf>
    <xf numFmtId="0" fontId="58" fillId="44" borderId="4" xfId="0" applyFont="1" applyFill="1" applyBorder="1" applyAlignment="1" applyProtection="1">
      <alignment horizontal="center" vertical="center" wrapText="1"/>
      <protection locked="0"/>
    </xf>
    <xf numFmtId="167" fontId="0" fillId="0" borderId="0" xfId="0" applyNumberFormat="1"/>
    <xf numFmtId="44" fontId="0" fillId="0" borderId="0" xfId="0" applyNumberFormat="1"/>
    <xf numFmtId="14" fontId="81" fillId="0" borderId="0" xfId="0" applyNumberFormat="1" applyFont="1" applyAlignment="1" applyProtection="1">
      <alignment horizontal="right"/>
    </xf>
    <xf numFmtId="0" fontId="22" fillId="0" borderId="0" xfId="0" applyFont="1"/>
    <xf numFmtId="0" fontId="81" fillId="0" borderId="0" xfId="0" applyFont="1" applyAlignment="1" applyProtection="1">
      <alignment vertical="top"/>
    </xf>
    <xf numFmtId="0" fontId="0" fillId="0" borderId="41" xfId="0" applyBorder="1" applyAlignment="1">
      <alignment horizontal="center"/>
    </xf>
    <xf numFmtId="0" fontId="0" fillId="0" borderId="0" xfId="0" applyAlignment="1">
      <alignment horizontal="center" vertical="center"/>
    </xf>
    <xf numFmtId="167" fontId="0" fillId="11" borderId="43" xfId="45" applyNumberFormat="1" applyFont="1" applyFill="1" applyBorder="1" applyAlignment="1" applyProtection="1">
      <alignment horizontal="center" vertical="center"/>
      <protection locked="0"/>
    </xf>
    <xf numFmtId="167" fontId="19" fillId="0" borderId="30" xfId="0" applyNumberFormat="1" applyFont="1" applyFill="1" applyBorder="1" applyAlignment="1">
      <alignment horizontal="left" vertical="center" wrapText="1"/>
    </xf>
    <xf numFmtId="0" fontId="17" fillId="0" borderId="0" xfId="0" applyFont="1" applyAlignment="1">
      <alignment vertical="center"/>
    </xf>
    <xf numFmtId="44" fontId="19" fillId="0" borderId="0" xfId="0" applyNumberFormat="1" applyFont="1" applyAlignment="1">
      <alignment vertical="center"/>
    </xf>
    <xf numFmtId="0" fontId="106" fillId="0" borderId="0" xfId="0" applyFont="1"/>
    <xf numFmtId="0" fontId="63" fillId="0" borderId="0" xfId="0" applyFont="1"/>
    <xf numFmtId="0" fontId="45" fillId="0" borderId="0" xfId="0" applyFont="1" applyAlignment="1">
      <alignment vertical="center"/>
    </xf>
    <xf numFmtId="10" fontId="19" fillId="0" borderId="0" xfId="0" applyNumberFormat="1" applyFont="1" applyAlignment="1">
      <alignment vertical="center"/>
    </xf>
    <xf numFmtId="0" fontId="17" fillId="0" borderId="0" xfId="0" applyFont="1" applyAlignment="1">
      <alignment vertical="center" wrapText="1"/>
    </xf>
    <xf numFmtId="44" fontId="63" fillId="0" borderId="0" xfId="0" applyNumberFormat="1" applyFont="1" applyProtection="1">
      <protection locked="0"/>
    </xf>
    <xf numFmtId="44" fontId="17" fillId="0" borderId="0" xfId="0" applyNumberFormat="1" applyFont="1" applyAlignment="1">
      <alignment vertical="center"/>
    </xf>
    <xf numFmtId="0" fontId="105" fillId="0" borderId="0" xfId="0" applyFont="1" applyAlignment="1">
      <alignment vertical="center"/>
    </xf>
    <xf numFmtId="44" fontId="109" fillId="0" borderId="0" xfId="0" applyNumberFormat="1" applyFont="1" applyAlignment="1">
      <alignment vertical="center"/>
    </xf>
    <xf numFmtId="0" fontId="45" fillId="0" borderId="0" xfId="0" applyFont="1" applyAlignment="1">
      <alignment horizontal="center" vertical="center"/>
    </xf>
    <xf numFmtId="0" fontId="17" fillId="0" borderId="0" xfId="0" applyFont="1" applyAlignment="1">
      <alignment horizontal="center" vertical="center"/>
    </xf>
    <xf numFmtId="44" fontId="110" fillId="0" borderId="0" xfId="2" applyFont="1" applyAlignment="1">
      <alignment vertical="center"/>
    </xf>
    <xf numFmtId="0" fontId="74" fillId="0" borderId="0" xfId="0" applyFont="1" applyAlignment="1" applyProtection="1">
      <alignment vertical="top"/>
      <protection locked="0"/>
    </xf>
    <xf numFmtId="0" fontId="16" fillId="0" borderId="0" xfId="0" applyFont="1" applyAlignment="1">
      <alignment vertical="center"/>
    </xf>
    <xf numFmtId="0" fontId="18" fillId="0" borderId="0" xfId="0" applyFont="1" applyAlignment="1">
      <alignment horizontal="center" vertical="center"/>
    </xf>
    <xf numFmtId="0" fontId="61" fillId="11" borderId="0" xfId="0" applyFont="1" applyFill="1" applyAlignment="1">
      <alignment vertical="center" wrapText="1"/>
    </xf>
    <xf numFmtId="172" fontId="61" fillId="43" borderId="29" xfId="50" applyNumberFormat="1" applyFont="1" applyFill="1" applyBorder="1" applyAlignment="1">
      <alignment horizontal="center" vertical="center" wrapText="1"/>
    </xf>
    <xf numFmtId="173" fontId="61" fillId="43" borderId="29" xfId="50" applyNumberFormat="1" applyFont="1" applyFill="1" applyBorder="1" applyAlignment="1">
      <alignment horizontal="center" vertical="center" wrapText="1"/>
    </xf>
    <xf numFmtId="174" fontId="61" fillId="43" borderId="29" xfId="50" applyNumberFormat="1" applyFont="1" applyFill="1" applyBorder="1" applyAlignment="1">
      <alignment horizontal="center" vertical="center" wrapText="1"/>
    </xf>
    <xf numFmtId="175" fontId="15" fillId="0" borderId="0" xfId="0" applyNumberFormat="1" applyFont="1" applyAlignment="1">
      <alignment vertical="center"/>
    </xf>
    <xf numFmtId="0" fontId="15" fillId="0" borderId="0" xfId="0" applyFont="1" applyAlignment="1">
      <alignment horizontal="center" vertical="center"/>
    </xf>
    <xf numFmtId="0" fontId="58" fillId="48" borderId="73" xfId="0" applyNumberFormat="1" applyFont="1" applyFill="1" applyBorder="1" applyAlignment="1" applyProtection="1">
      <alignment horizontal="center" vertical="center" wrapText="1"/>
      <protection locked="0"/>
    </xf>
    <xf numFmtId="171" fontId="58" fillId="2" borderId="74" xfId="0" applyNumberFormat="1" applyFont="1" applyFill="1" applyBorder="1" applyAlignment="1" applyProtection="1">
      <alignment horizontal="center" vertical="center" wrapText="1"/>
      <protection locked="0"/>
    </xf>
    <xf numFmtId="1" fontId="58" fillId="2" borderId="75" xfId="0" applyNumberFormat="1" applyFont="1" applyFill="1" applyBorder="1" applyAlignment="1" applyProtection="1">
      <alignment horizontal="center" vertical="center" wrapText="1"/>
      <protection locked="0"/>
    </xf>
    <xf numFmtId="0" fontId="66" fillId="0" borderId="0" xfId="49" applyAlignment="1">
      <alignment vertical="top"/>
    </xf>
    <xf numFmtId="0" fontId="115" fillId="0" borderId="0" xfId="0" applyFont="1"/>
    <xf numFmtId="0" fontId="100" fillId="43" borderId="0" xfId="0" applyFont="1" applyFill="1" applyBorder="1" applyAlignment="1">
      <alignment horizontal="left" vertical="top" wrapText="1"/>
    </xf>
    <xf numFmtId="0" fontId="64" fillId="0" borderId="0" xfId="0" applyFont="1"/>
    <xf numFmtId="0" fontId="58" fillId="11" borderId="1" xfId="0" applyFont="1" applyFill="1" applyBorder="1" applyAlignment="1" applyProtection="1">
      <alignment horizontal="center"/>
      <protection locked="0"/>
    </xf>
    <xf numFmtId="0" fontId="58" fillId="10" borderId="1" xfId="0" applyFont="1" applyFill="1" applyBorder="1" applyAlignment="1" applyProtection="1">
      <alignment horizontal="center" vertical="center"/>
      <protection locked="0"/>
    </xf>
    <xf numFmtId="0" fontId="56" fillId="0" borderId="0" xfId="0" applyFont="1" applyBorder="1" applyAlignment="1" applyProtection="1">
      <alignment horizontal="center" vertical="center"/>
      <protection locked="0"/>
    </xf>
    <xf numFmtId="0" fontId="58" fillId="10" borderId="1" xfId="0" applyFont="1" applyFill="1" applyBorder="1" applyAlignment="1" applyProtection="1">
      <alignment horizontal="center" vertical="center"/>
      <protection locked="0"/>
    </xf>
    <xf numFmtId="0" fontId="58" fillId="11" borderId="1" xfId="0" applyFont="1" applyFill="1" applyBorder="1" applyAlignment="1" applyProtection="1">
      <alignment horizontal="center"/>
      <protection locked="0"/>
    </xf>
    <xf numFmtId="0" fontId="56" fillId="0" borderId="0" xfId="0" applyFont="1" applyBorder="1" applyAlignment="1" applyProtection="1">
      <alignment horizontal="center" vertical="center"/>
      <protection locked="0"/>
    </xf>
    <xf numFmtId="14" fontId="63" fillId="0" borderId="0" xfId="0" applyNumberFormat="1" applyFont="1" applyAlignment="1" applyProtection="1">
      <alignment horizontal="center"/>
      <protection locked="0"/>
    </xf>
    <xf numFmtId="4" fontId="56" fillId="45" borderId="99" xfId="0" applyNumberFormat="1" applyFont="1" applyFill="1" applyBorder="1" applyAlignment="1" applyProtection="1">
      <alignment horizontal="center" vertical="center" wrapText="1"/>
    </xf>
    <xf numFmtId="4" fontId="63" fillId="0" borderId="80" xfId="0" applyNumberFormat="1" applyFont="1" applyBorder="1" applyAlignment="1">
      <alignment vertical="center"/>
    </xf>
    <xf numFmtId="4" fontId="63" fillId="0" borderId="44" xfId="0" applyNumberFormat="1" applyFont="1" applyBorder="1" applyAlignment="1">
      <alignment vertical="center"/>
    </xf>
    <xf numFmtId="4" fontId="63" fillId="0" borderId="81" xfId="0" applyNumberFormat="1" applyFont="1" applyBorder="1" applyAlignment="1">
      <alignment vertical="center"/>
    </xf>
    <xf numFmtId="4" fontId="56" fillId="45" borderId="100" xfId="0" applyNumberFormat="1" applyFont="1" applyFill="1" applyBorder="1" applyAlignment="1" applyProtection="1">
      <alignment vertical="center"/>
    </xf>
    <xf numFmtId="170" fontId="63" fillId="0" borderId="0" xfId="0" applyNumberFormat="1" applyFont="1" applyBorder="1" applyAlignment="1" applyProtection="1">
      <alignment horizontal="center" vertical="center"/>
      <protection locked="0"/>
    </xf>
    <xf numFmtId="0" fontId="58" fillId="2" borderId="0" xfId="0" applyFont="1" applyFill="1" applyBorder="1" applyProtection="1">
      <protection locked="0"/>
    </xf>
    <xf numFmtId="0" fontId="74" fillId="4" borderId="1" xfId="0" applyFont="1" applyFill="1" applyBorder="1" applyAlignment="1" applyProtection="1">
      <alignment horizontal="center"/>
      <protection locked="0"/>
    </xf>
    <xf numFmtId="0" fontId="74" fillId="4" borderId="3" xfId="0" applyFont="1" applyFill="1" applyBorder="1" applyAlignment="1" applyProtection="1">
      <alignment horizontal="center"/>
      <protection locked="0"/>
    </xf>
    <xf numFmtId="0" fontId="74" fillId="4" borderId="2" xfId="0" applyFont="1" applyFill="1" applyBorder="1" applyAlignment="1" applyProtection="1">
      <alignment horizontal="center"/>
      <protection locked="0"/>
    </xf>
    <xf numFmtId="10" fontId="58" fillId="2" borderId="75" xfId="0" applyNumberFormat="1" applyFont="1" applyFill="1" applyBorder="1" applyAlignment="1" applyProtection="1">
      <alignment horizontal="center" vertical="center" wrapText="1"/>
      <protection locked="0"/>
    </xf>
    <xf numFmtId="0" fontId="56" fillId="56" borderId="4" xfId="0" applyFont="1" applyFill="1" applyBorder="1" applyAlignment="1" applyProtection="1">
      <alignment horizontal="right"/>
    </xf>
    <xf numFmtId="4" fontId="56" fillId="56" borderId="15" xfId="0" applyNumberFormat="1" applyFont="1" applyFill="1" applyBorder="1" applyAlignment="1" applyProtection="1"/>
    <xf numFmtId="4" fontId="56" fillId="56" borderId="15" xfId="0" applyNumberFormat="1" applyFont="1" applyFill="1" applyBorder="1" applyAlignment="1" applyProtection="1">
      <alignment horizontal="center"/>
    </xf>
    <xf numFmtId="0" fontId="56" fillId="56" borderId="12" xfId="0" applyFont="1" applyFill="1" applyBorder="1" applyAlignment="1" applyProtection="1">
      <alignment horizontal="center"/>
    </xf>
    <xf numFmtId="2" fontId="56" fillId="2" borderId="1" xfId="0" applyNumberFormat="1" applyFont="1" applyFill="1" applyBorder="1" applyAlignment="1" applyProtection="1">
      <alignment vertical="center"/>
      <protection locked="0"/>
    </xf>
    <xf numFmtId="4" fontId="63" fillId="0" borderId="33" xfId="0" applyNumberFormat="1" applyFont="1" applyBorder="1" applyAlignment="1" applyProtection="1">
      <alignment horizontal="right"/>
    </xf>
    <xf numFmtId="4" fontId="63" fillId="0" borderId="35" xfId="0" applyNumberFormat="1" applyFont="1" applyBorder="1" applyAlignment="1" applyProtection="1">
      <alignment horizontal="right"/>
    </xf>
    <xf numFmtId="4" fontId="63" fillId="0" borderId="39" xfId="0" applyNumberFormat="1" applyFont="1" applyBorder="1" applyAlignment="1" applyProtection="1">
      <alignment horizontal="right"/>
    </xf>
    <xf numFmtId="4" fontId="63" fillId="0" borderId="82" xfId="0" applyNumberFormat="1" applyFont="1" applyBorder="1" applyAlignment="1" applyProtection="1">
      <alignment vertical="center"/>
    </xf>
    <xf numFmtId="4" fontId="63" fillId="0" borderId="50" xfId="0" applyNumberFormat="1" applyFont="1" applyBorder="1" applyAlignment="1" applyProtection="1">
      <alignment vertical="center"/>
    </xf>
    <xf numFmtId="4" fontId="63" fillId="0" borderId="49" xfId="0" applyNumberFormat="1" applyFont="1" applyBorder="1" applyAlignment="1" applyProtection="1">
      <alignment vertical="center"/>
    </xf>
    <xf numFmtId="4" fontId="63" fillId="0" borderId="33" xfId="0" applyNumberFormat="1" applyFont="1" applyBorder="1" applyAlignment="1" applyProtection="1">
      <alignment vertical="center"/>
    </xf>
    <xf numFmtId="4" fontId="63" fillId="0" borderId="35" xfId="0" applyNumberFormat="1" applyFont="1" applyBorder="1" applyAlignment="1" applyProtection="1">
      <alignment vertical="center"/>
    </xf>
    <xf numFmtId="4" fontId="63" fillId="0" borderId="39" xfId="0" applyNumberFormat="1" applyFont="1" applyBorder="1" applyAlignment="1" applyProtection="1">
      <alignment vertical="center"/>
    </xf>
    <xf numFmtId="0" fontId="74" fillId="51" borderId="74" xfId="0" applyFont="1" applyFill="1" applyBorder="1" applyAlignment="1" applyProtection="1">
      <alignment vertical="center" wrapText="1"/>
      <protection locked="0"/>
    </xf>
    <xf numFmtId="0" fontId="63" fillId="0" borderId="0" xfId="0" applyFont="1" applyFill="1" applyBorder="1" applyAlignment="1" applyProtection="1">
      <alignment vertical="center"/>
      <protection locked="0"/>
    </xf>
    <xf numFmtId="0" fontId="63" fillId="0" borderId="0" xfId="0" applyFont="1" applyBorder="1" applyAlignment="1" applyProtection="1">
      <alignment vertical="center"/>
      <protection locked="0"/>
    </xf>
    <xf numFmtId="0" fontId="99" fillId="0" borderId="0" xfId="0" applyFont="1" applyBorder="1" applyAlignment="1" applyProtection="1">
      <alignment vertical="top"/>
    </xf>
    <xf numFmtId="0" fontId="118" fillId="0" borderId="0" xfId="0" applyFont="1" applyAlignment="1" applyProtection="1">
      <alignment horizontal="left"/>
      <protection locked="0"/>
    </xf>
    <xf numFmtId="0" fontId="81" fillId="0" borderId="0" xfId="0" applyFont="1" applyAlignment="1" applyProtection="1">
      <alignment horizontal="left"/>
    </xf>
    <xf numFmtId="0" fontId="81" fillId="0" borderId="0" xfId="0" applyFont="1" applyAlignment="1" applyProtection="1">
      <alignment horizontal="left" vertical="top"/>
    </xf>
    <xf numFmtId="14" fontId="51" fillId="0" borderId="0" xfId="0" applyNumberFormat="1" applyFont="1" applyAlignment="1" applyProtection="1">
      <alignment horizontal="left" vertical="top"/>
    </xf>
    <xf numFmtId="1" fontId="58" fillId="48" borderId="78" xfId="0" applyNumberFormat="1" applyFont="1" applyFill="1" applyBorder="1" applyAlignment="1" applyProtection="1">
      <alignment horizontal="center" vertical="center" wrapText="1"/>
      <protection locked="0"/>
    </xf>
    <xf numFmtId="0" fontId="122" fillId="0" borderId="0" xfId="0" applyFont="1" applyProtection="1"/>
    <xf numFmtId="0" fontId="14" fillId="0" borderId="0" xfId="0" applyFont="1"/>
    <xf numFmtId="0" fontId="123" fillId="0" borderId="0" xfId="0" applyFont="1"/>
    <xf numFmtId="0" fontId="14" fillId="0" borderId="1" xfId="0" applyFont="1" applyBorder="1" applyAlignment="1" applyProtection="1">
      <alignment vertical="center"/>
    </xf>
    <xf numFmtId="0" fontId="14" fillId="0" borderId="7" xfId="0" applyFont="1" applyBorder="1" applyAlignment="1" applyProtection="1">
      <alignment vertical="center"/>
    </xf>
    <xf numFmtId="14" fontId="14" fillId="45" borderId="104" xfId="0" applyNumberFormat="1" applyFont="1" applyFill="1" applyBorder="1" applyAlignment="1" applyProtection="1">
      <alignment horizontal="center" vertical="center" wrapText="1"/>
      <protection locked="0"/>
    </xf>
    <xf numFmtId="14" fontId="14" fillId="45" borderId="63" xfId="0" applyNumberFormat="1" applyFont="1" applyFill="1" applyBorder="1" applyAlignment="1" applyProtection="1">
      <alignment horizontal="center" vertical="center" wrapText="1"/>
      <protection locked="0"/>
    </xf>
    <xf numFmtId="0" fontId="14" fillId="0" borderId="9" xfId="0" applyFont="1" applyBorder="1" applyAlignment="1" applyProtection="1">
      <alignment vertical="center"/>
    </xf>
    <xf numFmtId="2" fontId="45" fillId="45" borderId="12" xfId="0" applyNumberFormat="1" applyFont="1" applyFill="1" applyBorder="1" applyAlignment="1" applyProtection="1">
      <alignment horizontal="center" vertical="center" wrapText="1"/>
    </xf>
    <xf numFmtId="2" fontId="45" fillId="45" borderId="1" xfId="0" applyNumberFormat="1" applyFont="1" applyFill="1" applyBorder="1" applyAlignment="1" applyProtection="1">
      <alignment horizontal="center" vertical="center" wrapText="1"/>
    </xf>
    <xf numFmtId="4" fontId="45" fillId="45" borderId="56" xfId="0" applyNumberFormat="1" applyFont="1" applyFill="1" applyBorder="1" applyAlignment="1" applyProtection="1">
      <alignment horizontal="center" vertical="center" wrapText="1"/>
    </xf>
    <xf numFmtId="4" fontId="45" fillId="45" borderId="99" xfId="0" applyNumberFormat="1" applyFont="1" applyFill="1" applyBorder="1" applyAlignment="1" applyProtection="1">
      <alignment horizontal="center" vertical="center" wrapText="1"/>
    </xf>
    <xf numFmtId="4" fontId="45" fillId="45" borderId="57" xfId="0" applyNumberFormat="1" applyFont="1" applyFill="1" applyBorder="1" applyAlignment="1" applyProtection="1">
      <alignment horizontal="center" vertical="center" wrapText="1"/>
    </xf>
    <xf numFmtId="4" fontId="45" fillId="45" borderId="107" xfId="0" applyNumberFormat="1" applyFont="1" applyFill="1" applyBorder="1" applyAlignment="1" applyProtection="1">
      <alignment horizontal="center" vertical="center" wrapText="1"/>
    </xf>
    <xf numFmtId="2" fontId="45" fillId="45" borderId="15" xfId="0" applyNumberFormat="1" applyFont="1" applyFill="1" applyBorder="1" applyAlignment="1" applyProtection="1">
      <alignment horizontal="center" vertical="center" wrapText="1"/>
    </xf>
    <xf numFmtId="169" fontId="124" fillId="0" borderId="33" xfId="0" applyNumberFormat="1" applyFont="1" applyFill="1" applyBorder="1" applyAlignment="1" applyProtection="1">
      <alignment horizontal="center" vertical="center"/>
    </xf>
    <xf numFmtId="169" fontId="124" fillId="0" borderId="35" xfId="0" applyNumberFormat="1" applyFont="1" applyFill="1" applyBorder="1" applyAlignment="1" applyProtection="1">
      <alignment horizontal="center" vertical="center"/>
    </xf>
    <xf numFmtId="169" fontId="124" fillId="0" borderId="39" xfId="0" applyNumberFormat="1" applyFont="1" applyFill="1" applyBorder="1" applyAlignment="1" applyProtection="1">
      <alignment horizontal="center" vertical="center"/>
    </xf>
    <xf numFmtId="0" fontId="45" fillId="45" borderId="9" xfId="0" applyFont="1" applyFill="1" applyBorder="1" applyAlignment="1" applyProtection="1">
      <alignment horizontal="center" vertical="center"/>
    </xf>
    <xf numFmtId="14" fontId="14" fillId="0" borderId="9" xfId="0" applyNumberFormat="1" applyFont="1" applyBorder="1" applyAlignment="1" applyProtection="1">
      <alignment vertical="center"/>
    </xf>
    <xf numFmtId="3" fontId="14" fillId="0" borderId="39" xfId="0" applyNumberFormat="1" applyFont="1" applyFill="1" applyBorder="1" applyAlignment="1" applyProtection="1">
      <alignment horizontal="center" vertical="center"/>
      <protection locked="0"/>
    </xf>
    <xf numFmtId="14" fontId="14" fillId="45" borderId="62" xfId="0" applyNumberFormat="1" applyFont="1" applyFill="1" applyBorder="1" applyAlignment="1" applyProtection="1">
      <alignment horizontal="center" vertical="center" wrapText="1"/>
      <protection locked="0"/>
    </xf>
    <xf numFmtId="14" fontId="14" fillId="45" borderId="85" xfId="0" applyNumberFormat="1" applyFont="1" applyFill="1" applyBorder="1" applyAlignment="1" applyProtection="1">
      <alignment horizontal="center" vertical="center" wrapText="1"/>
      <protection locked="0"/>
    </xf>
    <xf numFmtId="2" fontId="45" fillId="45" borderId="56" xfId="0" applyNumberFormat="1" applyFont="1" applyFill="1" applyBorder="1" applyAlignment="1" applyProtection="1">
      <alignment horizontal="center" vertical="center" wrapText="1"/>
    </xf>
    <xf numFmtId="2" fontId="45" fillId="45" borderId="57" xfId="0" applyNumberFormat="1" applyFont="1" applyFill="1" applyBorder="1" applyAlignment="1" applyProtection="1">
      <alignment horizontal="center" vertical="center" wrapText="1"/>
    </xf>
    <xf numFmtId="169" fontId="124" fillId="0" borderId="45" xfId="0" applyNumberFormat="1" applyFont="1" applyFill="1" applyBorder="1" applyAlignment="1" applyProtection="1">
      <alignment horizontal="center" vertical="center"/>
    </xf>
    <xf numFmtId="169" fontId="124" fillId="0" borderId="54" xfId="0" applyNumberFormat="1" applyFont="1" applyFill="1" applyBorder="1" applyAlignment="1" applyProtection="1">
      <alignment horizontal="center" vertical="center"/>
    </xf>
    <xf numFmtId="169" fontId="124" fillId="0" borderId="47" xfId="0" applyNumberFormat="1" applyFont="1" applyFill="1" applyBorder="1" applyAlignment="1" applyProtection="1">
      <alignment horizontal="center" vertical="center"/>
    </xf>
    <xf numFmtId="0" fontId="45" fillId="45" borderId="59" xfId="0" applyFont="1" applyFill="1" applyBorder="1" applyAlignment="1" applyProtection="1">
      <alignment horizontal="center" vertical="center"/>
    </xf>
    <xf numFmtId="0" fontId="48" fillId="0" borderId="0" xfId="0" applyFont="1" applyFill="1" applyBorder="1"/>
    <xf numFmtId="0" fontId="47" fillId="0" borderId="0" xfId="0" applyFont="1" applyFill="1" applyBorder="1" applyAlignment="1">
      <alignment horizontal="center" vertical="center"/>
    </xf>
    <xf numFmtId="0" fontId="48" fillId="0" borderId="0" xfId="0" applyFont="1" applyBorder="1"/>
    <xf numFmtId="0" fontId="47" fillId="0" borderId="0" xfId="0" applyFont="1" applyBorder="1" applyAlignment="1">
      <alignment horizontal="center" vertical="center"/>
    </xf>
    <xf numFmtId="14" fontId="56" fillId="45" borderId="70" xfId="0" applyNumberFormat="1" applyFont="1" applyFill="1" applyBorder="1" applyAlignment="1" applyProtection="1">
      <alignment horizontal="center" vertical="center" wrapText="1"/>
      <protection locked="0"/>
    </xf>
    <xf numFmtId="14" fontId="56" fillId="45" borderId="71" xfId="0" applyNumberFormat="1" applyFont="1" applyFill="1" applyBorder="1" applyAlignment="1" applyProtection="1">
      <alignment horizontal="center" vertical="center" wrapText="1"/>
      <protection locked="0"/>
    </xf>
    <xf numFmtId="14" fontId="56" fillId="45" borderId="72" xfId="0" applyNumberFormat="1" applyFont="1" applyFill="1" applyBorder="1" applyAlignment="1" applyProtection="1">
      <alignment horizontal="center" vertical="center" wrapText="1"/>
      <protection locked="0"/>
    </xf>
    <xf numFmtId="171" fontId="58" fillId="45" borderId="74" xfId="0" applyNumberFormat="1" applyFont="1" applyFill="1" applyBorder="1" applyAlignment="1" applyProtection="1">
      <alignment horizontal="center" vertical="center" wrapText="1"/>
      <protection locked="0"/>
    </xf>
    <xf numFmtId="1" fontId="58" fillId="45" borderId="75" xfId="0" applyNumberFormat="1" applyFont="1" applyFill="1" applyBorder="1" applyAlignment="1" applyProtection="1">
      <alignment horizontal="center" vertical="center" wrapText="1"/>
      <protection locked="0"/>
    </xf>
    <xf numFmtId="2" fontId="45" fillId="45" borderId="33" xfId="0" applyNumberFormat="1" applyFont="1" applyFill="1" applyBorder="1" applyAlignment="1" applyProtection="1">
      <alignment horizontal="center" vertical="center" wrapText="1"/>
    </xf>
    <xf numFmtId="0" fontId="63" fillId="0" borderId="0" xfId="0" applyFont="1" applyAlignment="1" applyProtection="1">
      <alignment horizontal="left" vertical="center"/>
    </xf>
    <xf numFmtId="9" fontId="0" fillId="0" borderId="0" xfId="45" applyFont="1"/>
    <xf numFmtId="9" fontId="0" fillId="0" borderId="0" xfId="0" applyNumberFormat="1"/>
    <xf numFmtId="0" fontId="66" fillId="0" borderId="0" xfId="49" applyAlignment="1">
      <alignment wrapText="1"/>
    </xf>
    <xf numFmtId="0" fontId="12" fillId="0" borderId="0" xfId="0" applyFont="1"/>
    <xf numFmtId="0" fontId="45" fillId="45" borderId="86" xfId="0" applyFont="1" applyFill="1" applyBorder="1" applyAlignment="1" applyProtection="1">
      <alignment horizontal="center" vertical="center" wrapText="1"/>
    </xf>
    <xf numFmtId="0" fontId="45" fillId="45" borderId="0" xfId="0" applyFont="1" applyFill="1" applyBorder="1" applyAlignment="1" applyProtection="1">
      <alignment horizontal="center" vertical="center" wrapText="1"/>
    </xf>
    <xf numFmtId="2" fontId="45" fillId="52" borderId="15" xfId="0" applyNumberFormat="1" applyFont="1" applyFill="1" applyBorder="1" applyAlignment="1" applyProtection="1">
      <alignment horizontal="center" vertical="center" wrapText="1"/>
    </xf>
    <xf numFmtId="2" fontId="45" fillId="52" borderId="58" xfId="0" applyNumberFormat="1" applyFont="1" applyFill="1" applyBorder="1" applyAlignment="1" applyProtection="1">
      <alignment horizontal="center" vertical="center" wrapText="1"/>
    </xf>
    <xf numFmtId="2" fontId="45" fillId="2" borderId="12" xfId="0" applyNumberFormat="1" applyFont="1" applyFill="1" applyBorder="1" applyAlignment="1" applyProtection="1">
      <alignment horizontal="center" vertical="center" wrapText="1"/>
    </xf>
    <xf numFmtId="2" fontId="45" fillId="57" borderId="15" xfId="0" applyNumberFormat="1" applyFont="1" applyFill="1" applyBorder="1" applyAlignment="1" applyProtection="1">
      <alignment horizontal="center" vertical="center" wrapText="1"/>
    </xf>
    <xf numFmtId="0" fontId="11" fillId="0" borderId="7" xfId="0" applyFont="1" applyBorder="1" applyAlignment="1" applyProtection="1">
      <alignment vertical="center"/>
    </xf>
    <xf numFmtId="0" fontId="11" fillId="0" borderId="9" xfId="0" applyFont="1" applyBorder="1" applyAlignment="1" applyProtection="1">
      <alignment vertical="center"/>
    </xf>
    <xf numFmtId="0" fontId="76" fillId="0" borderId="0" xfId="0" applyFont="1" applyAlignment="1" applyProtection="1">
      <alignment vertical="center"/>
      <protection locked="0"/>
    </xf>
    <xf numFmtId="0" fontId="63" fillId="0" borderId="0" xfId="0" applyFont="1" applyBorder="1" applyAlignment="1" applyProtection="1">
      <alignment vertical="center"/>
    </xf>
    <xf numFmtId="1" fontId="126" fillId="0" borderId="33" xfId="0" applyNumberFormat="1" applyFont="1" applyFill="1" applyBorder="1" applyAlignment="1" applyProtection="1">
      <alignment horizontal="center" vertical="center"/>
    </xf>
    <xf numFmtId="4" fontId="127" fillId="0" borderId="45" xfId="0" applyNumberFormat="1" applyFont="1" applyBorder="1" applyAlignment="1">
      <alignment horizontal="right" vertical="center"/>
    </xf>
    <xf numFmtId="4" fontId="127" fillId="0" borderId="46" xfId="0" applyNumberFormat="1" applyFont="1" applyBorder="1" applyAlignment="1">
      <alignment horizontal="right" vertical="center"/>
    </xf>
    <xf numFmtId="4" fontId="127" fillId="0" borderId="53" xfId="0" applyNumberFormat="1" applyFont="1" applyBorder="1" applyAlignment="1">
      <alignment horizontal="right" vertical="center"/>
    </xf>
    <xf numFmtId="4" fontId="127" fillId="52" borderId="101" xfId="0" applyNumberFormat="1" applyFont="1" applyFill="1" applyBorder="1" applyAlignment="1">
      <alignment vertical="center"/>
    </xf>
    <xf numFmtId="3" fontId="127" fillId="0" borderId="35" xfId="0" applyNumberFormat="1" applyFont="1" applyFill="1" applyBorder="1" applyAlignment="1" applyProtection="1">
      <alignment horizontal="center" vertical="center"/>
    </xf>
    <xf numFmtId="4" fontId="127" fillId="57" borderId="35" xfId="0" applyNumberFormat="1" applyFont="1" applyFill="1" applyBorder="1" applyAlignment="1" applyProtection="1">
      <alignment horizontal="right" vertical="center"/>
    </xf>
    <xf numFmtId="1" fontId="126" fillId="0" borderId="35" xfId="0" applyNumberFormat="1" applyFont="1" applyFill="1" applyBorder="1" applyAlignment="1" applyProtection="1">
      <alignment horizontal="center" vertical="center"/>
    </xf>
    <xf numFmtId="4" fontId="127" fillId="0" borderId="54" xfId="0" applyNumberFormat="1" applyFont="1" applyBorder="1" applyAlignment="1">
      <alignment horizontal="right" vertical="center"/>
    </xf>
    <xf numFmtId="4" fontId="127" fillId="0" borderId="43" xfId="0" applyNumberFormat="1" applyFont="1" applyBorder="1" applyAlignment="1">
      <alignment horizontal="right" vertical="center"/>
    </xf>
    <xf numFmtId="4" fontId="127" fillId="0" borderId="55" xfId="0" applyNumberFormat="1" applyFont="1" applyBorder="1" applyAlignment="1">
      <alignment horizontal="right" vertical="center"/>
    </xf>
    <xf numFmtId="4" fontId="127" fillId="52" borderId="102" xfId="0" applyNumberFormat="1" applyFont="1" applyFill="1" applyBorder="1" applyAlignment="1">
      <alignment vertical="center"/>
    </xf>
    <xf numFmtId="1" fontId="126" fillId="0" borderId="39" xfId="0" applyNumberFormat="1" applyFont="1" applyFill="1" applyBorder="1" applyAlignment="1" applyProtection="1">
      <alignment horizontal="center" vertical="center"/>
    </xf>
    <xf numFmtId="4" fontId="127" fillId="0" borderId="47" xfId="0" applyNumberFormat="1" applyFont="1" applyBorder="1" applyAlignment="1">
      <alignment horizontal="right" vertical="center"/>
    </xf>
    <xf numFmtId="4" fontId="127" fillId="0" borderId="48" xfId="0" applyNumberFormat="1" applyFont="1" applyBorder="1" applyAlignment="1">
      <alignment horizontal="right" vertical="center"/>
    </xf>
    <xf numFmtId="4" fontId="127" fillId="0" borderId="52" xfId="0" applyNumberFormat="1" applyFont="1" applyBorder="1" applyAlignment="1">
      <alignment horizontal="right" vertical="center"/>
    </xf>
    <xf numFmtId="4" fontId="127" fillId="52" borderId="103" xfId="0" applyNumberFormat="1" applyFont="1" applyFill="1" applyBorder="1" applyAlignment="1">
      <alignment vertical="center"/>
    </xf>
    <xf numFmtId="3" fontId="127" fillId="0" borderId="39" xfId="0" applyNumberFormat="1" applyFont="1" applyFill="1" applyBorder="1" applyAlignment="1" applyProtection="1">
      <alignment horizontal="center" vertical="center"/>
    </xf>
    <xf numFmtId="4" fontId="127" fillId="57" borderId="39" xfId="0" applyNumberFormat="1" applyFont="1" applyFill="1" applyBorder="1" applyAlignment="1" applyProtection="1">
      <alignment horizontal="right" vertical="center"/>
    </xf>
    <xf numFmtId="1" fontId="128" fillId="45" borderId="14" xfId="0" applyNumberFormat="1" applyFont="1" applyFill="1" applyBorder="1" applyAlignment="1" applyProtection="1">
      <alignment horizontal="center" vertical="center"/>
    </xf>
    <xf numFmtId="4" fontId="128" fillId="45" borderId="59" xfId="0" applyNumberFormat="1" applyFont="1" applyFill="1" applyBorder="1" applyAlignment="1" applyProtection="1">
      <alignment vertical="center"/>
    </xf>
    <xf numFmtId="4" fontId="128" fillId="45" borderId="100" xfId="0" applyNumberFormat="1" applyFont="1" applyFill="1" applyBorder="1" applyAlignment="1" applyProtection="1">
      <alignment vertical="center"/>
    </xf>
    <xf numFmtId="4" fontId="128" fillId="45" borderId="60" xfId="0" applyNumberFormat="1" applyFont="1" applyFill="1" applyBorder="1" applyAlignment="1" applyProtection="1">
      <alignment vertical="center"/>
    </xf>
    <xf numFmtId="4" fontId="128" fillId="52" borderId="61" xfId="0" applyNumberFormat="1" applyFont="1" applyFill="1" applyBorder="1" applyAlignment="1" applyProtection="1">
      <alignment vertical="center"/>
    </xf>
    <xf numFmtId="3" fontId="128" fillId="45" borderId="14" xfId="0" applyNumberFormat="1" applyFont="1" applyFill="1" applyBorder="1" applyAlignment="1" applyProtection="1">
      <alignment horizontal="center" vertical="center"/>
    </xf>
    <xf numFmtId="4" fontId="128" fillId="57" borderId="14" xfId="0" applyNumberFormat="1" applyFont="1" applyFill="1" applyBorder="1" applyAlignment="1" applyProtection="1">
      <alignment horizontal="right" vertical="center"/>
    </xf>
    <xf numFmtId="1" fontId="127" fillId="0" borderId="34" xfId="0" applyNumberFormat="1" applyFont="1" applyBorder="1" applyAlignment="1">
      <alignment horizontal="center" vertical="center"/>
    </xf>
    <xf numFmtId="4" fontId="127" fillId="0" borderId="45" xfId="0" applyNumberFormat="1" applyFont="1" applyBorder="1" applyAlignment="1">
      <alignment vertical="center"/>
    </xf>
    <xf numFmtId="4" fontId="127" fillId="0" borderId="46" xfId="0" applyNumberFormat="1" applyFont="1" applyBorder="1" applyAlignment="1">
      <alignment vertical="center"/>
    </xf>
    <xf numFmtId="4" fontId="127" fillId="52" borderId="53" xfId="0" applyNumberFormat="1" applyFont="1" applyFill="1" applyBorder="1" applyAlignment="1">
      <alignment vertical="center"/>
    </xf>
    <xf numFmtId="1" fontId="127" fillId="0" borderId="36" xfId="0" applyNumberFormat="1" applyFont="1" applyBorder="1" applyAlignment="1">
      <alignment horizontal="center" vertical="center"/>
    </xf>
    <xf numFmtId="4" fontId="127" fillId="0" borderId="54" xfId="0" applyNumberFormat="1" applyFont="1" applyBorder="1" applyAlignment="1">
      <alignment vertical="center"/>
    </xf>
    <xf numFmtId="4" fontId="127" fillId="0" borderId="43" xfId="0" applyNumberFormat="1" applyFont="1" applyBorder="1" applyAlignment="1">
      <alignment vertical="center"/>
    </xf>
    <xf numFmtId="4" fontId="127" fillId="52" borderId="55" xfId="0" applyNumberFormat="1" applyFont="1" applyFill="1" applyBorder="1" applyAlignment="1">
      <alignment vertical="center"/>
    </xf>
    <xf numFmtId="1" fontId="127" fillId="0" borderId="69" xfId="0" applyNumberFormat="1" applyFont="1" applyBorder="1" applyAlignment="1">
      <alignment horizontal="center" vertical="center"/>
    </xf>
    <xf numFmtId="4" fontId="127" fillId="0" borderId="47" xfId="0" applyNumberFormat="1" applyFont="1" applyBorder="1" applyAlignment="1">
      <alignment vertical="center"/>
    </xf>
    <xf numFmtId="4" fontId="127" fillId="0" borderId="48" xfId="0" applyNumberFormat="1" applyFont="1" applyBorder="1" applyAlignment="1">
      <alignment vertical="center"/>
    </xf>
    <xf numFmtId="4" fontId="127" fillId="52" borderId="52" xfId="0" applyNumberFormat="1" applyFont="1" applyFill="1" applyBorder="1" applyAlignment="1">
      <alignment vertical="center"/>
    </xf>
    <xf numFmtId="1" fontId="127" fillId="0" borderId="46" xfId="0" applyNumberFormat="1" applyFont="1" applyBorder="1" applyAlignment="1">
      <alignment horizontal="center" vertical="center"/>
    </xf>
    <xf numFmtId="4" fontId="127" fillId="0" borderId="82" xfId="0" applyNumberFormat="1" applyFont="1" applyBorder="1" applyAlignment="1">
      <alignment vertical="center"/>
    </xf>
    <xf numFmtId="4" fontId="127" fillId="2" borderId="33" xfId="0" applyNumberFormat="1" applyFont="1" applyFill="1" applyBorder="1" applyAlignment="1">
      <alignment vertical="center"/>
    </xf>
    <xf numFmtId="1" fontId="127" fillId="0" borderId="43" xfId="0" applyNumberFormat="1" applyFont="1" applyBorder="1" applyAlignment="1">
      <alignment horizontal="center" vertical="center"/>
    </xf>
    <xf numFmtId="4" fontId="127" fillId="0" borderId="50" xfId="0" applyNumberFormat="1" applyFont="1" applyBorder="1" applyAlignment="1">
      <alignment vertical="center"/>
    </xf>
    <xf numFmtId="4" fontId="127" fillId="2" borderId="35" xfId="0" applyNumberFormat="1" applyFont="1" applyFill="1" applyBorder="1" applyAlignment="1">
      <alignment vertical="center"/>
    </xf>
    <xf numFmtId="1" fontId="127" fillId="0" borderId="48" xfId="0" applyNumberFormat="1" applyFont="1" applyBorder="1" applyAlignment="1">
      <alignment horizontal="center" vertical="center"/>
    </xf>
    <xf numFmtId="4" fontId="127" fillId="0" borderId="49" xfId="0" applyNumberFormat="1" applyFont="1" applyBorder="1" applyAlignment="1">
      <alignment vertical="center"/>
    </xf>
    <xf numFmtId="4" fontId="127" fillId="2" borderId="39" xfId="0" applyNumberFormat="1" applyFont="1" applyFill="1" applyBorder="1" applyAlignment="1">
      <alignment vertical="center"/>
    </xf>
    <xf numFmtId="1" fontId="128" fillId="45" borderId="60" xfId="0" applyNumberFormat="1" applyFont="1" applyFill="1" applyBorder="1" applyAlignment="1" applyProtection="1">
      <alignment horizontal="center" vertical="center"/>
    </xf>
    <xf numFmtId="4" fontId="127" fillId="45" borderId="60" xfId="0" applyNumberFormat="1" applyFont="1" applyFill="1" applyBorder="1" applyAlignment="1" applyProtection="1">
      <alignment vertical="center"/>
    </xf>
    <xf numFmtId="4" fontId="128" fillId="45" borderId="108" xfId="0" applyNumberFormat="1" applyFont="1" applyFill="1" applyBorder="1" applyAlignment="1" applyProtection="1">
      <alignment vertical="center"/>
    </xf>
    <xf numFmtId="4" fontId="128" fillId="2" borderId="14" xfId="0" applyNumberFormat="1" applyFont="1" applyFill="1" applyBorder="1" applyAlignment="1" applyProtection="1">
      <alignment vertical="center"/>
    </xf>
    <xf numFmtId="4" fontId="128" fillId="57" borderId="14" xfId="0" applyNumberFormat="1" applyFont="1" applyFill="1" applyBorder="1" applyAlignment="1" applyProtection="1">
      <alignment vertical="center"/>
    </xf>
    <xf numFmtId="1" fontId="128" fillId="45" borderId="9" xfId="0" applyNumberFormat="1" applyFont="1" applyFill="1" applyBorder="1" applyAlignment="1" applyProtection="1">
      <alignment horizontal="center" vertical="center"/>
    </xf>
    <xf numFmtId="4" fontId="128" fillId="45" borderId="59" xfId="0" applyNumberFormat="1" applyFont="1" applyFill="1" applyBorder="1" applyAlignment="1" applyProtection="1">
      <alignment horizontal="right" vertical="center"/>
    </xf>
    <xf numFmtId="4" fontId="128" fillId="45" borderId="60" xfId="0" applyNumberFormat="1" applyFont="1" applyFill="1" applyBorder="1" applyAlignment="1" applyProtection="1">
      <alignment horizontal="right" vertical="center"/>
    </xf>
    <xf numFmtId="4" fontId="128" fillId="52" borderId="61" xfId="0" applyNumberFormat="1" applyFont="1" applyFill="1" applyBorder="1" applyAlignment="1" applyProtection="1">
      <alignment horizontal="right" vertical="center"/>
    </xf>
    <xf numFmtId="4" fontId="127" fillId="57" borderId="35" xfId="0" applyNumberFormat="1" applyFont="1" applyFill="1" applyBorder="1" applyAlignment="1" applyProtection="1">
      <alignment vertical="center"/>
    </xf>
    <xf numFmtId="4" fontId="127" fillId="57" borderId="39" xfId="0" applyNumberFormat="1" applyFont="1" applyFill="1" applyBorder="1" applyAlignment="1" applyProtection="1">
      <alignment vertical="center"/>
    </xf>
    <xf numFmtId="10" fontId="58" fillId="45" borderId="75" xfId="45" applyNumberFormat="1" applyFont="1" applyFill="1" applyBorder="1" applyAlignment="1" applyProtection="1">
      <alignment horizontal="center" vertical="center" wrapText="1"/>
      <protection locked="0"/>
    </xf>
    <xf numFmtId="0" fontId="129" fillId="58" borderId="0" xfId="0" applyFont="1" applyFill="1" applyAlignment="1" applyProtection="1">
      <alignment horizontal="left" vertical="center"/>
    </xf>
    <xf numFmtId="0" fontId="56" fillId="58" borderId="0" xfId="0" applyFont="1" applyFill="1" applyProtection="1"/>
    <xf numFmtId="0" fontId="63" fillId="58" borderId="0" xfId="0" applyFont="1" applyFill="1" applyProtection="1"/>
    <xf numFmtId="14" fontId="63" fillId="58" borderId="0" xfId="0" applyNumberFormat="1" applyFont="1" applyFill="1" applyAlignment="1" applyProtection="1">
      <alignment horizontal="right" vertical="center"/>
    </xf>
    <xf numFmtId="18" fontId="41" fillId="50" borderId="26" xfId="0" applyNumberFormat="1" applyFont="1" applyFill="1" applyBorder="1" applyAlignment="1">
      <alignment horizontal="left" vertical="top" wrapText="1"/>
    </xf>
    <xf numFmtId="18" fontId="0" fillId="0" borderId="0" xfId="0" applyNumberFormat="1"/>
    <xf numFmtId="0" fontId="10" fillId="0" borderId="0" xfId="0" applyFont="1" applyAlignment="1">
      <alignment horizontal="left" vertical="center"/>
    </xf>
    <xf numFmtId="14" fontId="10" fillId="0" borderId="0" xfId="0" applyNumberFormat="1" applyFont="1" applyAlignment="1">
      <alignment horizontal="left" vertical="center"/>
    </xf>
    <xf numFmtId="0" fontId="10" fillId="0" borderId="0" xfId="0" quotePrefix="1" applyFont="1" applyAlignment="1">
      <alignment horizontal="left" vertical="center" wrapText="1"/>
    </xf>
    <xf numFmtId="0" fontId="9" fillId="0" borderId="0" xfId="0" applyFont="1" applyAlignment="1">
      <alignment horizontal="left" vertical="center"/>
    </xf>
    <xf numFmtId="14" fontId="9" fillId="0" borderId="0" xfId="0" applyNumberFormat="1" applyFont="1" applyAlignment="1">
      <alignment horizontal="left" vertical="center"/>
    </xf>
    <xf numFmtId="4" fontId="0" fillId="0" borderId="0" xfId="0" applyNumberFormat="1"/>
    <xf numFmtId="0" fontId="130" fillId="0" borderId="0" xfId="0" applyFont="1"/>
    <xf numFmtId="0" fontId="112" fillId="0" borderId="0" xfId="0" applyFont="1" applyAlignment="1" applyProtection="1">
      <alignment horizontal="left" vertical="center" wrapText="1"/>
    </xf>
    <xf numFmtId="0" fontId="99" fillId="0" borderId="0" xfId="0" applyFont="1" applyBorder="1" applyAlignment="1" applyProtection="1">
      <alignment horizontal="left" vertical="center" wrapText="1"/>
    </xf>
    <xf numFmtId="0" fontId="112" fillId="0" borderId="0" xfId="0" applyFont="1" applyAlignment="1" applyProtection="1">
      <alignment vertical="center"/>
    </xf>
    <xf numFmtId="0" fontId="102" fillId="0" borderId="0" xfId="0" applyFont="1" applyProtection="1">
      <protection locked="0"/>
    </xf>
    <xf numFmtId="0" fontId="99" fillId="0" borderId="0" xfId="0" applyFont="1" applyBorder="1" applyAlignment="1" applyProtection="1">
      <alignment vertical="center"/>
    </xf>
    <xf numFmtId="4" fontId="128" fillId="57" borderId="39" xfId="0" applyNumberFormat="1" applyFont="1" applyFill="1" applyBorder="1" applyAlignment="1" applyProtection="1">
      <alignment horizontal="right" vertical="center"/>
    </xf>
    <xf numFmtId="0" fontId="112" fillId="0" borderId="0" xfId="0" applyFont="1" applyAlignment="1" applyProtection="1">
      <alignment horizontal="left" vertical="center"/>
    </xf>
    <xf numFmtId="0" fontId="8" fillId="0" borderId="0" xfId="0" applyFont="1" applyAlignment="1">
      <alignment horizontal="left" vertical="center" wrapText="1"/>
    </xf>
    <xf numFmtId="0" fontId="7" fillId="0" borderId="0" xfId="0" applyFont="1" applyAlignment="1">
      <alignment horizontal="left" vertical="center"/>
    </xf>
    <xf numFmtId="0" fontId="6" fillId="0" borderId="0" xfId="0" applyFont="1" applyAlignment="1">
      <alignment horizontal="left" vertical="center" wrapText="1"/>
    </xf>
    <xf numFmtId="14" fontId="7" fillId="0" borderId="0" xfId="0" applyNumberFormat="1" applyFont="1" applyAlignment="1">
      <alignment horizontal="left" vertical="center"/>
    </xf>
    <xf numFmtId="0" fontId="5" fillId="0" borderId="0" xfId="0" applyFont="1" applyAlignment="1">
      <alignment horizontal="left" vertical="center"/>
    </xf>
    <xf numFmtId="14" fontId="5" fillId="0" borderId="0" xfId="0" applyNumberFormat="1" applyFont="1" applyAlignment="1">
      <alignment horizontal="left" vertical="center"/>
    </xf>
    <xf numFmtId="0" fontId="131" fillId="0" borderId="0" xfId="0" applyFont="1"/>
    <xf numFmtId="4" fontId="12" fillId="0" borderId="0" xfId="0" applyNumberFormat="1" applyFont="1"/>
    <xf numFmtId="0" fontId="56" fillId="5" borderId="0" xfId="0" applyFont="1" applyFill="1" applyBorder="1" applyAlignment="1" applyProtection="1">
      <alignment horizontal="center"/>
    </xf>
    <xf numFmtId="10" fontId="56" fillId="2" borderId="0" xfId="0" applyNumberFormat="1" applyFont="1" applyFill="1" applyBorder="1" applyAlignment="1" applyProtection="1">
      <alignment horizontal="center"/>
    </xf>
    <xf numFmtId="4" fontId="56" fillId="2" borderId="10" xfId="0" applyNumberFormat="1" applyFont="1" applyFill="1" applyBorder="1" applyAlignment="1" applyProtection="1">
      <alignment horizontal="center"/>
    </xf>
    <xf numFmtId="0" fontId="4" fillId="0" borderId="7" xfId="0" applyFont="1" applyBorder="1" applyAlignment="1" applyProtection="1">
      <alignment vertical="center"/>
    </xf>
    <xf numFmtId="14" fontId="56" fillId="5" borderId="5" xfId="0" applyNumberFormat="1" applyFont="1" applyFill="1" applyBorder="1" applyAlignment="1" applyProtection="1">
      <alignment horizontal="center" vertical="center"/>
    </xf>
    <xf numFmtId="14" fontId="56" fillId="5" borderId="4" xfId="0" applyNumberFormat="1" applyFont="1" applyFill="1" applyBorder="1" applyAlignment="1" applyProtection="1">
      <alignment horizontal="center" vertical="center"/>
    </xf>
    <xf numFmtId="0" fontId="0" fillId="0" borderId="0" xfId="0" applyAlignment="1">
      <alignment horizontal="left" vertical="center"/>
    </xf>
    <xf numFmtId="0" fontId="3" fillId="0" borderId="0" xfId="0" applyFont="1" applyAlignment="1">
      <alignment horizontal="left" vertical="center" wrapText="1"/>
    </xf>
    <xf numFmtId="0" fontId="2" fillId="0" borderId="0" xfId="0" applyFont="1" applyAlignment="1">
      <alignment horizontal="left" vertical="center"/>
    </xf>
    <xf numFmtId="14" fontId="2" fillId="0" borderId="0" xfId="0" applyNumberFormat="1" applyFont="1" applyAlignment="1">
      <alignment horizontal="left" vertical="center"/>
    </xf>
    <xf numFmtId="0" fontId="2" fillId="0" borderId="0" xfId="0" applyFont="1" applyAlignment="1">
      <alignment horizontal="left" vertical="center" wrapText="1"/>
    </xf>
    <xf numFmtId="0" fontId="112" fillId="0" borderId="0" xfId="0" applyFont="1" applyAlignment="1" applyProtection="1">
      <alignment horizontal="left" vertical="center" wrapText="1"/>
      <protection locked="0"/>
    </xf>
    <xf numFmtId="10" fontId="14" fillId="45" borderId="0" xfId="0" applyNumberFormat="1" applyFont="1" applyFill="1" applyBorder="1" applyAlignment="1" applyProtection="1">
      <alignment horizontal="center" vertical="center"/>
      <protection locked="0"/>
    </xf>
    <xf numFmtId="10" fontId="14" fillId="45" borderId="8" xfId="0" applyNumberFormat="1" applyFont="1" applyFill="1" applyBorder="1" applyAlignment="1" applyProtection="1">
      <alignment horizontal="center" vertical="center"/>
      <protection locked="0"/>
    </xf>
    <xf numFmtId="10" fontId="14" fillId="45" borderId="105" xfId="0" applyNumberFormat="1" applyFont="1" applyFill="1" applyBorder="1" applyAlignment="1" applyProtection="1">
      <alignment horizontal="center" vertical="center"/>
      <protection locked="0"/>
    </xf>
    <xf numFmtId="10" fontId="14" fillId="45" borderId="106" xfId="0" applyNumberFormat="1" applyFont="1" applyFill="1" applyBorder="1" applyAlignment="1" applyProtection="1">
      <alignment horizontal="center" vertical="center"/>
      <protection locked="0"/>
    </xf>
    <xf numFmtId="1" fontId="14" fillId="45" borderId="62" xfId="0" applyNumberFormat="1" applyFont="1" applyFill="1" applyBorder="1" applyAlignment="1" applyProtection="1">
      <alignment horizontal="center" vertical="center"/>
      <protection locked="0"/>
    </xf>
    <xf numFmtId="0" fontId="14" fillId="45" borderId="63" xfId="0" applyFont="1" applyFill="1" applyBorder="1" applyAlignment="1" applyProtection="1">
      <alignment horizontal="center" vertical="center"/>
      <protection locked="0"/>
    </xf>
    <xf numFmtId="0" fontId="14" fillId="0" borderId="7" xfId="0" applyFont="1" applyBorder="1" applyAlignment="1" applyProtection="1">
      <alignment horizontal="left" vertical="top"/>
    </xf>
    <xf numFmtId="10" fontId="14" fillId="45" borderId="62" xfId="0" applyNumberFormat="1" applyFont="1" applyFill="1" applyBorder="1" applyAlignment="1" applyProtection="1">
      <alignment horizontal="center" vertical="center"/>
    </xf>
    <xf numFmtId="10" fontId="14" fillId="45" borderId="63" xfId="0" applyNumberFormat="1" applyFont="1" applyFill="1" applyBorder="1" applyAlignment="1" applyProtection="1">
      <alignment horizontal="center" vertical="center"/>
    </xf>
    <xf numFmtId="14" fontId="14" fillId="45" borderId="62" xfId="0" applyNumberFormat="1" applyFont="1" applyFill="1" applyBorder="1" applyAlignment="1" applyProtection="1">
      <alignment horizontal="center" vertical="center"/>
      <protection locked="0"/>
    </xf>
    <xf numFmtId="14" fontId="14" fillId="45" borderId="63" xfId="0" applyNumberFormat="1" applyFont="1" applyFill="1" applyBorder="1" applyAlignment="1" applyProtection="1">
      <alignment horizontal="center" vertical="center"/>
      <protection locked="0"/>
    </xf>
    <xf numFmtId="0" fontId="112" fillId="0" borderId="0" xfId="0" applyFont="1" applyAlignment="1" applyProtection="1">
      <alignment horizontal="left" vertical="center" wrapText="1"/>
    </xf>
    <xf numFmtId="0" fontId="56" fillId="0" borderId="1" xfId="0" applyFont="1" applyBorder="1" applyAlignment="1" applyProtection="1">
      <alignment horizontal="center" vertical="center" wrapText="1"/>
      <protection locked="0"/>
    </xf>
    <xf numFmtId="0" fontId="56" fillId="0" borderId="3" xfId="0" applyFont="1" applyBorder="1" applyAlignment="1" applyProtection="1">
      <alignment horizontal="center" vertical="center" wrapText="1"/>
      <protection locked="0"/>
    </xf>
    <xf numFmtId="0" fontId="56" fillId="0" borderId="9" xfId="0" applyFont="1" applyBorder="1" applyAlignment="1" applyProtection="1">
      <alignment horizontal="center" vertical="center" wrapText="1"/>
      <protection locked="0"/>
    </xf>
    <xf numFmtId="0" fontId="56" fillId="0" borderId="11" xfId="0" applyFont="1" applyBorder="1" applyAlignment="1" applyProtection="1">
      <alignment horizontal="center" vertical="center" wrapText="1"/>
      <protection locked="0"/>
    </xf>
    <xf numFmtId="14" fontId="124" fillId="45" borderId="64" xfId="0" applyNumberFormat="1" applyFont="1" applyFill="1" applyBorder="1" applyAlignment="1" applyProtection="1">
      <alignment horizontal="center" vertical="center"/>
      <protection locked="0"/>
    </xf>
    <xf numFmtId="0" fontId="124" fillId="45" borderId="65" xfId="0" applyFont="1" applyFill="1" applyBorder="1" applyAlignment="1" applyProtection="1">
      <alignment horizontal="center" vertical="center"/>
      <protection locked="0"/>
    </xf>
    <xf numFmtId="0" fontId="14" fillId="45" borderId="63" xfId="0" applyNumberFormat="1" applyFont="1" applyFill="1" applyBorder="1" applyAlignment="1" applyProtection="1">
      <alignment horizontal="center" vertical="center"/>
      <protection locked="0"/>
    </xf>
    <xf numFmtId="10" fontId="14" fillId="45" borderId="66" xfId="0" applyNumberFormat="1" applyFont="1" applyFill="1" applyBorder="1" applyAlignment="1" applyProtection="1">
      <alignment horizontal="center" vertical="center"/>
    </xf>
    <xf numFmtId="10" fontId="14" fillId="45" borderId="89" xfId="0" applyNumberFormat="1" applyFont="1" applyFill="1" applyBorder="1" applyAlignment="1" applyProtection="1">
      <alignment horizontal="center" vertical="center"/>
    </xf>
    <xf numFmtId="0" fontId="13" fillId="45" borderId="67" xfId="0" applyFont="1" applyFill="1" applyBorder="1" applyAlignment="1" applyProtection="1">
      <alignment horizontal="center" vertical="center" wrapText="1"/>
      <protection locked="0"/>
    </xf>
    <xf numFmtId="0" fontId="14" fillId="45" borderId="68" xfId="0" applyFont="1" applyFill="1" applyBorder="1" applyAlignment="1" applyProtection="1">
      <alignment horizontal="center" vertical="center" wrapText="1"/>
      <protection locked="0"/>
    </xf>
    <xf numFmtId="0" fontId="99" fillId="0" borderId="0" xfId="0" applyFont="1" applyBorder="1" applyAlignment="1" applyProtection="1">
      <alignment horizontal="left" vertical="top" wrapText="1"/>
    </xf>
    <xf numFmtId="0" fontId="99" fillId="0" borderId="0" xfId="0" applyFont="1" applyBorder="1" applyAlignment="1" applyProtection="1">
      <alignment horizontal="left" vertical="center" wrapText="1"/>
    </xf>
    <xf numFmtId="0" fontId="56" fillId="0" borderId="6" xfId="0" applyFont="1" applyBorder="1" applyAlignment="1" applyProtection="1">
      <alignment horizontal="center" vertical="center" wrapText="1"/>
      <protection locked="0"/>
    </xf>
    <xf numFmtId="0" fontId="56" fillId="0" borderId="4" xfId="0" applyFont="1" applyBorder="1" applyAlignment="1" applyProtection="1">
      <alignment horizontal="center" vertical="center" wrapText="1"/>
      <protection locked="0"/>
    </xf>
    <xf numFmtId="0" fontId="56" fillId="0" borderId="5" xfId="0" applyFont="1" applyBorder="1" applyAlignment="1" applyProtection="1">
      <alignment horizontal="center" vertical="center" wrapText="1"/>
      <protection locked="0"/>
    </xf>
    <xf numFmtId="14" fontId="124" fillId="0" borderId="64" xfId="0" applyNumberFormat="1" applyFont="1" applyFill="1" applyBorder="1" applyAlignment="1" applyProtection="1">
      <alignment horizontal="center" vertical="center"/>
      <protection locked="0"/>
    </xf>
    <xf numFmtId="0" fontId="124" fillId="0" borderId="65" xfId="0" applyFont="1" applyFill="1" applyBorder="1" applyAlignment="1" applyProtection="1">
      <alignment horizontal="center" vertical="center"/>
      <protection locked="0"/>
    </xf>
    <xf numFmtId="0" fontId="14" fillId="45" borderId="67" xfId="0" applyFont="1" applyFill="1" applyBorder="1" applyAlignment="1" applyProtection="1">
      <alignment horizontal="center" vertical="center" wrapText="1"/>
      <protection locked="0"/>
    </xf>
    <xf numFmtId="2" fontId="14" fillId="45" borderId="10" xfId="0" applyNumberFormat="1" applyFont="1" applyFill="1" applyBorder="1" applyAlignment="1" applyProtection="1">
      <alignment horizontal="center" vertical="center"/>
      <protection locked="0"/>
    </xf>
    <xf numFmtId="2" fontId="14" fillId="45" borderId="11" xfId="0" applyNumberFormat="1" applyFont="1" applyFill="1" applyBorder="1" applyAlignment="1" applyProtection="1">
      <alignment horizontal="center" vertical="center"/>
      <protection locked="0"/>
    </xf>
    <xf numFmtId="10" fontId="124" fillId="45" borderId="66" xfId="0" applyNumberFormat="1" applyFont="1" applyFill="1" applyBorder="1" applyAlignment="1" applyProtection="1">
      <alignment horizontal="center" vertical="center" wrapText="1"/>
      <protection locked="0"/>
    </xf>
    <xf numFmtId="9" fontId="124" fillId="45" borderId="89" xfId="0" applyNumberFormat="1" applyFont="1" applyFill="1" applyBorder="1" applyAlignment="1" applyProtection="1">
      <alignment horizontal="center" vertical="center" wrapText="1"/>
      <protection locked="0"/>
    </xf>
    <xf numFmtId="10" fontId="14" fillId="45" borderId="62" xfId="0" applyNumberFormat="1" applyFont="1" applyFill="1" applyBorder="1" applyAlignment="1" applyProtection="1">
      <alignment horizontal="center" vertical="center"/>
      <protection locked="0"/>
    </xf>
    <xf numFmtId="10" fontId="14" fillId="45" borderId="63" xfId="0" applyNumberFormat="1" applyFont="1" applyFill="1" applyBorder="1" applyAlignment="1" applyProtection="1">
      <alignment horizontal="center" vertical="center"/>
      <protection locked="0"/>
    </xf>
    <xf numFmtId="0" fontId="45" fillId="2" borderId="1" xfId="0" applyFont="1" applyFill="1" applyBorder="1" applyAlignment="1" applyProtection="1">
      <alignment horizontal="center" vertical="center" wrapText="1"/>
      <protection locked="0"/>
    </xf>
    <xf numFmtId="0" fontId="45" fillId="2" borderId="2" xfId="0" applyFont="1" applyFill="1" applyBorder="1" applyAlignment="1" applyProtection="1">
      <alignment horizontal="center" vertical="center" wrapText="1"/>
      <protection locked="0"/>
    </xf>
    <xf numFmtId="0" fontId="45" fillId="2" borderId="3" xfId="0" applyFont="1" applyFill="1" applyBorder="1" applyAlignment="1" applyProtection="1">
      <alignment horizontal="center" vertical="center" wrapText="1"/>
      <protection locked="0"/>
    </xf>
    <xf numFmtId="0" fontId="63" fillId="48" borderId="88" xfId="0" applyFont="1" applyFill="1" applyBorder="1" applyAlignment="1" applyProtection="1">
      <alignment horizontal="center" wrapText="1"/>
      <protection locked="0"/>
    </xf>
    <xf numFmtId="0" fontId="63" fillId="48" borderId="66" xfId="0" applyFont="1" applyFill="1" applyBorder="1" applyAlignment="1" applyProtection="1">
      <alignment horizontal="center" wrapText="1"/>
      <protection locked="0"/>
    </xf>
    <xf numFmtId="0" fontId="63" fillId="48" borderId="89" xfId="0" applyFont="1" applyFill="1" applyBorder="1" applyAlignment="1" applyProtection="1">
      <alignment horizontal="center" wrapText="1"/>
      <protection locked="0"/>
    </xf>
    <xf numFmtId="0" fontId="76" fillId="0" borderId="0" xfId="0" applyFont="1" applyAlignment="1" applyProtection="1">
      <alignment horizontal="left" vertical="center" wrapText="1"/>
      <protection locked="0"/>
    </xf>
    <xf numFmtId="0" fontId="63" fillId="0" borderId="7" xfId="0" applyFont="1" applyBorder="1" applyAlignment="1" applyProtection="1">
      <alignment horizontal="center" vertical="center"/>
    </xf>
    <xf numFmtId="0" fontId="63" fillId="0" borderId="8" xfId="0" applyFont="1" applyBorder="1" applyAlignment="1" applyProtection="1">
      <alignment horizontal="center" vertical="center"/>
    </xf>
    <xf numFmtId="4" fontId="56" fillId="2" borderId="10" xfId="0" applyNumberFormat="1" applyFont="1" applyFill="1" applyBorder="1" applyAlignment="1" applyProtection="1">
      <alignment horizontal="center"/>
    </xf>
    <xf numFmtId="4" fontId="56" fillId="2" borderId="11" xfId="0" applyNumberFormat="1" applyFont="1" applyFill="1" applyBorder="1" applyAlignment="1" applyProtection="1">
      <alignment horizontal="center"/>
    </xf>
    <xf numFmtId="4" fontId="56" fillId="2" borderId="9" xfId="0" applyNumberFormat="1" applyFont="1" applyFill="1" applyBorder="1" applyAlignment="1" applyProtection="1">
      <alignment horizontal="center"/>
    </xf>
    <xf numFmtId="0" fontId="56" fillId="5" borderId="2" xfId="0" applyFont="1" applyFill="1" applyBorder="1" applyAlignment="1" applyProtection="1">
      <alignment horizontal="center"/>
    </xf>
    <xf numFmtId="0" fontId="56" fillId="5" borderId="3" xfId="0" applyFont="1" applyFill="1" applyBorder="1" applyAlignment="1" applyProtection="1">
      <alignment horizontal="center"/>
    </xf>
    <xf numFmtId="0" fontId="56" fillId="5" borderId="1" xfId="0" applyFont="1" applyFill="1" applyBorder="1" applyAlignment="1" applyProtection="1">
      <alignment horizontal="center"/>
    </xf>
    <xf numFmtId="0" fontId="56" fillId="5" borderId="7" xfId="0" applyFont="1" applyFill="1" applyBorder="1" applyAlignment="1" applyProtection="1">
      <alignment horizontal="center"/>
      <protection locked="0"/>
    </xf>
    <xf numFmtId="0" fontId="56" fillId="5" borderId="8" xfId="0" applyFont="1" applyFill="1" applyBorder="1" applyAlignment="1" applyProtection="1">
      <alignment horizontal="center"/>
      <protection locked="0"/>
    </xf>
    <xf numFmtId="4" fontId="63" fillId="0" borderId="7" xfId="0" applyNumberFormat="1" applyFont="1" applyFill="1" applyBorder="1" applyAlignment="1" applyProtection="1">
      <alignment horizontal="center" vertical="center"/>
    </xf>
    <xf numFmtId="4" fontId="63" fillId="0" borderId="8" xfId="0" applyNumberFormat="1" applyFont="1" applyFill="1" applyBorder="1" applyAlignment="1" applyProtection="1">
      <alignment horizontal="center" vertical="center"/>
    </xf>
    <xf numFmtId="49" fontId="58" fillId="4" borderId="9" xfId="0" applyNumberFormat="1" applyFont="1" applyFill="1" applyBorder="1" applyAlignment="1" applyProtection="1">
      <alignment horizontal="center"/>
    </xf>
    <xf numFmtId="49" fontId="58" fillId="4" borderId="11" xfId="0" applyNumberFormat="1" applyFont="1" applyFill="1" applyBorder="1" applyAlignment="1" applyProtection="1">
      <alignment horizontal="center"/>
    </xf>
    <xf numFmtId="49" fontId="58" fillId="2" borderId="6" xfId="0" applyNumberFormat="1" applyFont="1" applyFill="1" applyBorder="1" applyAlignment="1" applyProtection="1">
      <alignment horizontal="center"/>
    </xf>
    <xf numFmtId="49" fontId="58" fillId="2" borderId="5" xfId="0" applyNumberFormat="1" applyFont="1" applyFill="1" applyBorder="1" applyAlignment="1" applyProtection="1">
      <alignment horizontal="center"/>
    </xf>
    <xf numFmtId="4" fontId="58" fillId="2" borderId="6" xfId="0" applyNumberFormat="1" applyFont="1" applyFill="1" applyBorder="1" applyAlignment="1" applyProtection="1">
      <alignment horizontal="center"/>
    </xf>
    <xf numFmtId="4" fontId="58" fillId="2" borderId="5" xfId="0" applyNumberFormat="1" applyFont="1" applyFill="1" applyBorder="1" applyAlignment="1" applyProtection="1">
      <alignment horizontal="center"/>
    </xf>
    <xf numFmtId="0" fontId="63" fillId="0" borderId="6" xfId="0" applyFont="1" applyBorder="1" applyAlignment="1" applyProtection="1">
      <alignment horizontal="center"/>
    </xf>
    <xf numFmtId="0" fontId="63" fillId="0" borderId="5" xfId="0" applyFont="1" applyBorder="1" applyAlignment="1" applyProtection="1">
      <alignment horizontal="center"/>
    </xf>
    <xf numFmtId="166" fontId="58" fillId="7" borderId="1" xfId="0" applyNumberFormat="1" applyFont="1" applyFill="1" applyBorder="1" applyAlignment="1" applyProtection="1">
      <alignment horizontal="center" vertical="center"/>
      <protection locked="0"/>
    </xf>
    <xf numFmtId="0" fontId="58" fillId="7" borderId="3" xfId="0" applyFont="1" applyFill="1" applyBorder="1" applyAlignment="1" applyProtection="1">
      <alignment horizontal="center" vertical="center"/>
      <protection locked="0"/>
    </xf>
    <xf numFmtId="0" fontId="58" fillId="7" borderId="1" xfId="0" applyFont="1" applyFill="1" applyBorder="1" applyAlignment="1" applyProtection="1">
      <alignment horizontal="center" vertical="center"/>
      <protection locked="0"/>
    </xf>
    <xf numFmtId="4" fontId="54" fillId="0" borderId="16" xfId="0" applyNumberFormat="1" applyFont="1" applyFill="1" applyBorder="1" applyAlignment="1" applyProtection="1">
      <alignment horizontal="center" vertical="center"/>
    </xf>
    <xf numFmtId="0" fontId="52" fillId="0" borderId="16" xfId="0" applyFont="1" applyBorder="1" applyAlignment="1" applyProtection="1">
      <alignment horizontal="center" vertical="center"/>
      <protection locked="0"/>
    </xf>
    <xf numFmtId="49" fontId="58" fillId="11" borderId="9" xfId="0" applyNumberFormat="1" applyFont="1" applyFill="1" applyBorder="1" applyAlignment="1" applyProtection="1">
      <alignment horizontal="center"/>
      <protection locked="0"/>
    </xf>
    <xf numFmtId="49" fontId="58" fillId="11" borderId="11" xfId="0" applyNumberFormat="1" applyFont="1" applyFill="1" applyBorder="1" applyAlignment="1" applyProtection="1">
      <alignment horizontal="center"/>
      <protection locked="0"/>
    </xf>
    <xf numFmtId="166" fontId="58" fillId="10" borderId="6" xfId="0" applyNumberFormat="1" applyFont="1" applyFill="1" applyBorder="1" applyAlignment="1" applyProtection="1">
      <alignment horizontal="center"/>
      <protection locked="0"/>
    </xf>
    <xf numFmtId="166" fontId="58" fillId="10" borderId="5" xfId="0" applyNumberFormat="1" applyFont="1" applyFill="1" applyBorder="1" applyAlignment="1" applyProtection="1">
      <alignment horizontal="center"/>
      <protection locked="0"/>
    </xf>
    <xf numFmtId="4" fontId="58" fillId="11" borderId="9" xfId="0" applyNumberFormat="1" applyFont="1" applyFill="1" applyBorder="1" applyAlignment="1" applyProtection="1">
      <alignment horizontal="center"/>
      <protection locked="0"/>
    </xf>
    <xf numFmtId="4" fontId="58" fillId="11" borderId="11" xfId="0" applyNumberFormat="1" applyFont="1" applyFill="1" applyBorder="1" applyAlignment="1" applyProtection="1">
      <alignment horizontal="center"/>
      <protection locked="0"/>
    </xf>
    <xf numFmtId="0" fontId="58" fillId="10" borderId="1" xfId="0" applyFont="1" applyFill="1" applyBorder="1" applyAlignment="1" applyProtection="1">
      <alignment horizontal="center" vertical="center"/>
      <protection locked="0"/>
    </xf>
    <xf numFmtId="0" fontId="58" fillId="10" borderId="3" xfId="0" applyFont="1" applyFill="1" applyBorder="1" applyAlignment="1" applyProtection="1">
      <alignment horizontal="center" vertical="center"/>
      <protection locked="0"/>
    </xf>
    <xf numFmtId="170" fontId="58" fillId="10" borderId="1" xfId="0" applyNumberFormat="1" applyFont="1" applyFill="1" applyBorder="1" applyAlignment="1" applyProtection="1">
      <alignment horizontal="center"/>
      <protection locked="0"/>
    </xf>
    <xf numFmtId="0" fontId="58" fillId="10" borderId="3" xfId="0" applyFont="1" applyFill="1" applyBorder="1" applyAlignment="1" applyProtection="1">
      <alignment horizontal="center"/>
      <protection locked="0"/>
    </xf>
    <xf numFmtId="167" fontId="56" fillId="2" borderId="6" xfId="0" applyNumberFormat="1" applyFont="1" applyFill="1" applyBorder="1" applyAlignment="1" applyProtection="1">
      <alignment horizontal="center"/>
    </xf>
    <xf numFmtId="167" fontId="56" fillId="2" borderId="5" xfId="0" applyNumberFormat="1" applyFont="1" applyFill="1" applyBorder="1" applyAlignment="1" applyProtection="1">
      <alignment horizontal="center"/>
    </xf>
    <xf numFmtId="0" fontId="55" fillId="10" borderId="6" xfId="0" applyFont="1" applyFill="1" applyBorder="1" applyAlignment="1" applyProtection="1">
      <alignment horizontal="center" vertical="center"/>
    </xf>
    <xf numFmtId="0" fontId="55" fillId="10" borderId="4" xfId="0" applyFont="1" applyFill="1" applyBorder="1" applyAlignment="1" applyProtection="1">
      <alignment horizontal="center" vertical="center"/>
    </xf>
    <xf numFmtId="0" fontId="55" fillId="10" borderId="5" xfId="0" applyFont="1" applyFill="1" applyBorder="1" applyAlignment="1" applyProtection="1">
      <alignment horizontal="center" vertical="center"/>
    </xf>
    <xf numFmtId="9" fontId="56" fillId="2" borderId="6" xfId="0" applyNumberFormat="1" applyFont="1" applyFill="1" applyBorder="1" applyAlignment="1" applyProtection="1">
      <alignment horizontal="center"/>
    </xf>
    <xf numFmtId="9" fontId="56" fillId="2" borderId="4" xfId="0" applyNumberFormat="1" applyFont="1" applyFill="1" applyBorder="1" applyAlignment="1" applyProtection="1">
      <alignment horizontal="center"/>
    </xf>
    <xf numFmtId="9" fontId="56" fillId="2" borderId="5" xfId="0" applyNumberFormat="1" applyFont="1" applyFill="1" applyBorder="1" applyAlignment="1" applyProtection="1">
      <alignment horizontal="center"/>
    </xf>
    <xf numFmtId="10" fontId="56" fillId="5" borderId="6" xfId="0" applyNumberFormat="1" applyFont="1" applyFill="1" applyBorder="1" applyAlignment="1" applyProtection="1">
      <alignment horizontal="center"/>
    </xf>
    <xf numFmtId="10" fontId="56" fillId="5" borderId="5" xfId="0" applyNumberFormat="1" applyFont="1" applyFill="1" applyBorder="1" applyAlignment="1" applyProtection="1">
      <alignment horizontal="center"/>
    </xf>
    <xf numFmtId="10" fontId="56" fillId="2" borderId="7" xfId="0" applyNumberFormat="1" applyFont="1" applyFill="1" applyBorder="1" applyAlignment="1" applyProtection="1">
      <alignment horizontal="center"/>
    </xf>
    <xf numFmtId="10" fontId="56" fillId="2" borderId="8" xfId="0" applyNumberFormat="1" applyFont="1" applyFill="1" applyBorder="1" applyAlignment="1" applyProtection="1">
      <alignment horizontal="center"/>
    </xf>
    <xf numFmtId="4" fontId="56" fillId="2" borderId="1" xfId="0" applyNumberFormat="1" applyFont="1" applyFill="1" applyBorder="1" applyAlignment="1" applyProtection="1">
      <alignment horizontal="center" wrapText="1"/>
    </xf>
    <xf numFmtId="4" fontId="56" fillId="2" borderId="3" xfId="0" applyNumberFormat="1" applyFont="1" applyFill="1" applyBorder="1" applyAlignment="1" applyProtection="1">
      <alignment horizontal="center" wrapText="1"/>
    </xf>
    <xf numFmtId="0" fontId="56" fillId="5" borderId="7" xfId="0" applyFont="1" applyFill="1" applyBorder="1" applyAlignment="1" applyProtection="1">
      <alignment horizontal="center"/>
    </xf>
    <xf numFmtId="0" fontId="56" fillId="5" borderId="8" xfId="0" applyFont="1" applyFill="1" applyBorder="1" applyAlignment="1" applyProtection="1">
      <alignment horizontal="center"/>
    </xf>
    <xf numFmtId="166" fontId="58" fillId="11" borderId="1" xfId="0" applyNumberFormat="1" applyFont="1" applyFill="1" applyBorder="1" applyAlignment="1" applyProtection="1">
      <alignment horizontal="center"/>
      <protection locked="0"/>
    </xf>
    <xf numFmtId="166" fontId="58" fillId="11" borderId="3" xfId="0" applyNumberFormat="1" applyFont="1" applyFill="1" applyBorder="1" applyAlignment="1" applyProtection="1">
      <alignment horizontal="center"/>
      <protection locked="0"/>
    </xf>
    <xf numFmtId="166" fontId="58" fillId="11" borderId="6" xfId="0" applyNumberFormat="1" applyFont="1" applyFill="1" applyBorder="1" applyAlignment="1" applyProtection="1">
      <alignment horizontal="center"/>
      <protection locked="0"/>
    </xf>
    <xf numFmtId="166" fontId="58" fillId="11" borderId="5" xfId="0" applyNumberFormat="1" applyFont="1" applyFill="1" applyBorder="1" applyAlignment="1" applyProtection="1">
      <alignment horizontal="center"/>
      <protection locked="0"/>
    </xf>
    <xf numFmtId="0" fontId="56" fillId="5" borderId="9" xfId="0" applyFont="1" applyFill="1" applyBorder="1" applyAlignment="1" applyProtection="1">
      <alignment horizontal="center"/>
      <protection locked="0"/>
    </xf>
    <xf numFmtId="0" fontId="56" fillId="5" borderId="11" xfId="0" applyFont="1" applyFill="1" applyBorder="1" applyAlignment="1" applyProtection="1">
      <alignment horizontal="center"/>
      <protection locked="0"/>
    </xf>
    <xf numFmtId="2" fontId="56" fillId="2" borderId="7" xfId="0" applyNumberFormat="1" applyFont="1" applyFill="1" applyBorder="1" applyAlignment="1" applyProtection="1">
      <alignment horizontal="center"/>
    </xf>
    <xf numFmtId="2" fontId="56" fillId="2" borderId="8" xfId="0" applyNumberFormat="1" applyFont="1" applyFill="1" applyBorder="1" applyAlignment="1" applyProtection="1">
      <alignment horizontal="center"/>
    </xf>
    <xf numFmtId="10" fontId="56" fillId="5" borderId="6" xfId="0" applyNumberFormat="1" applyFont="1" applyFill="1" applyBorder="1" applyAlignment="1" applyProtection="1">
      <alignment horizontal="center"/>
      <protection locked="0"/>
    </xf>
    <xf numFmtId="10" fontId="56" fillId="5" borderId="5" xfId="0" applyNumberFormat="1" applyFont="1" applyFill="1" applyBorder="1" applyAlignment="1" applyProtection="1">
      <alignment horizontal="center"/>
      <protection locked="0"/>
    </xf>
    <xf numFmtId="167" fontId="56" fillId="2" borderId="4" xfId="0" applyNumberFormat="1" applyFont="1" applyFill="1" applyBorder="1" applyAlignment="1" applyProtection="1">
      <alignment horizontal="center"/>
    </xf>
    <xf numFmtId="0" fontId="56" fillId="5" borderId="9" xfId="0" applyFont="1" applyFill="1" applyBorder="1" applyAlignment="1" applyProtection="1">
      <alignment horizontal="center" wrapText="1"/>
    </xf>
    <xf numFmtId="0" fontId="56" fillId="5" borderId="11" xfId="0" applyFont="1" applyFill="1" applyBorder="1" applyAlignment="1" applyProtection="1">
      <alignment horizontal="center" wrapText="1"/>
    </xf>
    <xf numFmtId="0" fontId="56" fillId="5" borderId="1" xfId="0" applyFont="1" applyFill="1" applyBorder="1" applyAlignment="1" applyProtection="1">
      <alignment horizontal="center"/>
      <protection locked="0"/>
    </xf>
    <xf numFmtId="0" fontId="56" fillId="5" borderId="3" xfId="0" applyFont="1" applyFill="1" applyBorder="1" applyAlignment="1" applyProtection="1">
      <alignment horizontal="center"/>
      <protection locked="0"/>
    </xf>
    <xf numFmtId="0" fontId="58" fillId="11" borderId="1" xfId="0" applyFont="1" applyFill="1" applyBorder="1" applyAlignment="1" applyProtection="1">
      <alignment horizontal="center"/>
      <protection locked="0"/>
    </xf>
    <xf numFmtId="0" fontId="58" fillId="11" borderId="3" xfId="0" applyFont="1" applyFill="1" applyBorder="1" applyAlignment="1" applyProtection="1">
      <alignment horizontal="center"/>
      <protection locked="0"/>
    </xf>
    <xf numFmtId="170" fontId="58" fillId="4" borderId="1" xfId="0" applyNumberFormat="1" applyFont="1" applyFill="1" applyBorder="1" applyAlignment="1" applyProtection="1">
      <alignment horizontal="center"/>
      <protection locked="0"/>
    </xf>
    <xf numFmtId="0" fontId="58" fillId="4" borderId="3" xfId="0" applyFont="1" applyFill="1" applyBorder="1" applyAlignment="1" applyProtection="1">
      <alignment horizontal="center"/>
      <protection locked="0"/>
    </xf>
    <xf numFmtId="2" fontId="56" fillId="2" borderId="9" xfId="0" applyNumberFormat="1" applyFont="1" applyFill="1" applyBorder="1" applyAlignment="1" applyProtection="1">
      <alignment horizontal="center"/>
    </xf>
    <xf numFmtId="2" fontId="56" fillId="2" borderId="11" xfId="0" applyNumberFormat="1" applyFont="1" applyFill="1" applyBorder="1" applyAlignment="1" applyProtection="1">
      <alignment horizontal="center"/>
    </xf>
    <xf numFmtId="4" fontId="56" fillId="2" borderId="2" xfId="0" applyNumberFormat="1" applyFont="1" applyFill="1" applyBorder="1" applyAlignment="1" applyProtection="1">
      <alignment horizontal="center" wrapText="1"/>
    </xf>
    <xf numFmtId="0" fontId="56" fillId="2" borderId="6" xfId="0" applyNumberFormat="1" applyFont="1" applyFill="1" applyBorder="1" applyAlignment="1" applyProtection="1">
      <alignment horizontal="center"/>
    </xf>
    <xf numFmtId="0" fontId="56" fillId="2" borderId="4" xfId="0" applyNumberFormat="1" applyFont="1" applyFill="1" applyBorder="1" applyAlignment="1" applyProtection="1">
      <alignment horizontal="center"/>
    </xf>
    <xf numFmtId="0" fontId="56" fillId="2" borderId="0" xfId="0" applyNumberFormat="1" applyFont="1" applyFill="1" applyBorder="1" applyAlignment="1" applyProtection="1">
      <alignment horizontal="center"/>
    </xf>
    <xf numFmtId="0" fontId="56" fillId="2" borderId="5" xfId="0" applyNumberFormat="1" applyFont="1" applyFill="1" applyBorder="1" applyAlignment="1" applyProtection="1">
      <alignment horizontal="center"/>
    </xf>
    <xf numFmtId="0" fontId="57" fillId="6" borderId="6" xfId="0" applyFont="1" applyFill="1" applyBorder="1" applyAlignment="1" applyProtection="1">
      <alignment horizontal="center" vertical="center"/>
    </xf>
    <xf numFmtId="0" fontId="57" fillId="6" borderId="4" xfId="0" applyFont="1" applyFill="1" applyBorder="1" applyAlignment="1" applyProtection="1">
      <alignment horizontal="center" vertical="center"/>
    </xf>
    <xf numFmtId="0" fontId="57" fillId="6" borderId="5" xfId="0" applyFont="1" applyFill="1" applyBorder="1" applyAlignment="1" applyProtection="1">
      <alignment horizontal="center" vertical="center"/>
    </xf>
    <xf numFmtId="0" fontId="55" fillId="7" borderId="6" xfId="0" applyFont="1" applyFill="1" applyBorder="1" applyAlignment="1" applyProtection="1">
      <alignment horizontal="center" vertical="center"/>
    </xf>
    <xf numFmtId="0" fontId="55" fillId="7" borderId="4" xfId="0" applyFont="1" applyFill="1" applyBorder="1" applyAlignment="1" applyProtection="1">
      <alignment horizontal="center" vertical="center"/>
    </xf>
    <xf numFmtId="0" fontId="55" fillId="7" borderId="5" xfId="0" applyFont="1" applyFill="1" applyBorder="1" applyAlignment="1" applyProtection="1">
      <alignment horizontal="center" vertical="center"/>
    </xf>
    <xf numFmtId="2" fontId="56" fillId="2" borderId="0" xfId="0" applyNumberFormat="1" applyFont="1" applyFill="1" applyBorder="1" applyAlignment="1" applyProtection="1">
      <alignment horizontal="center"/>
    </xf>
    <xf numFmtId="10" fontId="56" fillId="5" borderId="4" xfId="0" applyNumberFormat="1" applyFont="1" applyFill="1" applyBorder="1" applyAlignment="1" applyProtection="1">
      <alignment horizontal="center"/>
    </xf>
    <xf numFmtId="0" fontId="58" fillId="4" borderId="1" xfId="0" applyFont="1" applyFill="1" applyBorder="1" applyAlignment="1" applyProtection="1">
      <alignment horizontal="center"/>
      <protection locked="0"/>
    </xf>
    <xf numFmtId="166" fontId="58" fillId="4" borderId="1" xfId="0" applyNumberFormat="1" applyFont="1" applyFill="1" applyBorder="1" applyAlignment="1" applyProtection="1">
      <alignment horizontal="center"/>
      <protection locked="0"/>
    </xf>
    <xf numFmtId="10" fontId="56" fillId="2" borderId="0" xfId="0" applyNumberFormat="1" applyFont="1" applyFill="1" applyBorder="1" applyAlignment="1" applyProtection="1">
      <alignment horizontal="center"/>
    </xf>
    <xf numFmtId="0" fontId="56" fillId="5" borderId="7" xfId="0" applyNumberFormat="1" applyFont="1" applyFill="1" applyBorder="1" applyAlignment="1" applyProtection="1">
      <alignment horizontal="center"/>
    </xf>
    <xf numFmtId="0" fontId="56" fillId="5" borderId="8" xfId="0" applyNumberFormat="1" applyFont="1" applyFill="1" applyBorder="1" applyAlignment="1" applyProtection="1">
      <alignment horizontal="center"/>
    </xf>
    <xf numFmtId="0" fontId="56" fillId="2" borderId="15" xfId="0" applyNumberFormat="1" applyFont="1" applyFill="1" applyBorder="1" applyAlignment="1" applyProtection="1">
      <alignment horizontal="center"/>
    </xf>
    <xf numFmtId="2" fontId="56" fillId="2" borderId="10" xfId="0" applyNumberFormat="1" applyFont="1" applyFill="1" applyBorder="1" applyAlignment="1" applyProtection="1">
      <alignment horizontal="center"/>
    </xf>
    <xf numFmtId="49" fontId="58" fillId="10" borderId="9" xfId="0" applyNumberFormat="1" applyFont="1" applyFill="1" applyBorder="1" applyAlignment="1" applyProtection="1">
      <alignment horizontal="center" vertical="center"/>
    </xf>
    <xf numFmtId="49" fontId="58" fillId="10" borderId="11" xfId="0" applyNumberFormat="1" applyFont="1" applyFill="1" applyBorder="1" applyAlignment="1" applyProtection="1">
      <alignment horizontal="center" vertical="center"/>
    </xf>
    <xf numFmtId="4" fontId="58" fillId="10" borderId="9" xfId="0" applyNumberFormat="1" applyFont="1" applyFill="1" applyBorder="1" applyAlignment="1" applyProtection="1">
      <alignment horizontal="center" vertical="center"/>
    </xf>
    <xf numFmtId="4" fontId="58" fillId="10" borderId="11" xfId="0" applyNumberFormat="1" applyFont="1" applyFill="1" applyBorder="1" applyAlignment="1" applyProtection="1">
      <alignment horizontal="center" vertical="center"/>
    </xf>
    <xf numFmtId="4" fontId="58" fillId="7" borderId="9" xfId="0" applyNumberFormat="1" applyFont="1" applyFill="1" applyBorder="1" applyAlignment="1" applyProtection="1">
      <alignment horizontal="center" vertical="center"/>
    </xf>
    <xf numFmtId="4" fontId="58" fillId="7" borderId="11" xfId="0" applyNumberFormat="1" applyFont="1" applyFill="1" applyBorder="1" applyAlignment="1" applyProtection="1">
      <alignment horizontal="center" vertical="center"/>
    </xf>
    <xf numFmtId="49" fontId="58" fillId="7" borderId="9" xfId="0" applyNumberFormat="1" applyFont="1" applyFill="1" applyBorder="1" applyAlignment="1" applyProtection="1">
      <alignment horizontal="center" vertical="center"/>
    </xf>
    <xf numFmtId="49" fontId="58" fillId="7" borderId="11" xfId="0" applyNumberFormat="1" applyFont="1" applyFill="1" applyBorder="1" applyAlignment="1" applyProtection="1">
      <alignment horizontal="center" vertical="center"/>
    </xf>
    <xf numFmtId="166" fontId="58" fillId="7" borderId="1" xfId="0" applyNumberFormat="1" applyFont="1" applyFill="1" applyBorder="1" applyAlignment="1" applyProtection="1">
      <alignment horizontal="center"/>
      <protection locked="0"/>
    </xf>
    <xf numFmtId="0" fontId="58" fillId="7" borderId="3" xfId="0" applyFont="1" applyFill="1" applyBorder="1" applyAlignment="1" applyProtection="1">
      <alignment horizontal="center"/>
      <protection locked="0"/>
    </xf>
    <xf numFmtId="170" fontId="58" fillId="44" borderId="6" xfId="0" applyNumberFormat="1" applyFont="1" applyFill="1" applyBorder="1" applyAlignment="1" applyProtection="1">
      <alignment horizontal="center"/>
      <protection locked="0"/>
    </xf>
    <xf numFmtId="0" fontId="58" fillId="44" borderId="5" xfId="0" applyFont="1" applyFill="1" applyBorder="1" applyAlignment="1" applyProtection="1">
      <alignment horizontal="center"/>
      <protection locked="0"/>
    </xf>
    <xf numFmtId="170" fontId="58" fillId="11" borderId="1" xfId="0" applyNumberFormat="1" applyFont="1" applyFill="1" applyBorder="1" applyAlignment="1" applyProtection="1">
      <alignment horizontal="center"/>
      <protection locked="0"/>
    </xf>
    <xf numFmtId="0" fontId="57" fillId="11" borderId="6" xfId="0" applyFont="1" applyFill="1" applyBorder="1" applyAlignment="1" applyProtection="1">
      <alignment horizontal="center" vertical="center"/>
    </xf>
    <xf numFmtId="0" fontId="57" fillId="11" borderId="4" xfId="0" applyFont="1" applyFill="1" applyBorder="1" applyAlignment="1" applyProtection="1">
      <alignment horizontal="center" vertical="center"/>
    </xf>
    <xf numFmtId="0" fontId="57" fillId="11" borderId="5" xfId="0" applyFont="1" applyFill="1" applyBorder="1" applyAlignment="1" applyProtection="1">
      <alignment horizontal="center" vertical="center"/>
    </xf>
    <xf numFmtId="4" fontId="58" fillId="4" borderId="9" xfId="0" applyNumberFormat="1" applyFont="1" applyFill="1" applyBorder="1" applyAlignment="1" applyProtection="1">
      <alignment horizontal="center"/>
    </xf>
    <xf numFmtId="4" fontId="58" fillId="4" borderId="11" xfId="0" applyNumberFormat="1" applyFont="1" applyFill="1" applyBorder="1" applyAlignment="1" applyProtection="1">
      <alignment horizontal="center"/>
    </xf>
    <xf numFmtId="166" fontId="58" fillId="10" borderId="1" xfId="0" applyNumberFormat="1" applyFont="1" applyFill="1" applyBorder="1" applyAlignment="1" applyProtection="1">
      <alignment horizontal="center" vertical="center"/>
      <protection locked="0"/>
    </xf>
    <xf numFmtId="166" fontId="58" fillId="10" borderId="3" xfId="0" applyNumberFormat="1" applyFont="1" applyFill="1" applyBorder="1" applyAlignment="1" applyProtection="1">
      <alignment horizontal="center" vertical="center"/>
      <protection locked="0"/>
    </xf>
    <xf numFmtId="14" fontId="56" fillId="52" borderId="76" xfId="0" applyNumberFormat="1" applyFont="1" applyFill="1" applyBorder="1" applyAlignment="1" applyProtection="1">
      <alignment horizontal="center" vertical="center" wrapText="1"/>
      <protection locked="0"/>
    </xf>
    <xf numFmtId="14" fontId="56" fillId="52" borderId="87" xfId="0" applyNumberFormat="1" applyFont="1" applyFill="1" applyBorder="1" applyAlignment="1" applyProtection="1">
      <alignment horizontal="center" vertical="center" wrapText="1"/>
      <protection locked="0"/>
    </xf>
    <xf numFmtId="14" fontId="56" fillId="52" borderId="77" xfId="0" applyNumberFormat="1" applyFont="1" applyFill="1" applyBorder="1" applyAlignment="1" applyProtection="1">
      <alignment horizontal="center" vertical="center" wrapText="1"/>
      <protection locked="0"/>
    </xf>
    <xf numFmtId="0" fontId="58" fillId="51" borderId="78" xfId="0" applyFont="1" applyFill="1" applyBorder="1" applyAlignment="1" applyProtection="1">
      <alignment horizontal="center" vertical="center"/>
      <protection locked="0"/>
    </xf>
    <xf numFmtId="0" fontId="58" fillId="51" borderId="66" xfId="0" applyFont="1" applyFill="1" applyBorder="1" applyAlignment="1" applyProtection="1">
      <alignment horizontal="center" vertical="center"/>
      <protection locked="0"/>
    </xf>
    <xf numFmtId="0" fontId="58" fillId="51" borderId="79" xfId="0" applyFont="1" applyFill="1" applyBorder="1" applyAlignment="1" applyProtection="1">
      <alignment horizontal="center" vertical="center"/>
      <protection locked="0"/>
    </xf>
    <xf numFmtId="0" fontId="56" fillId="5" borderId="9" xfId="0" applyFont="1" applyFill="1" applyBorder="1" applyAlignment="1" applyProtection="1">
      <alignment horizontal="center"/>
    </xf>
    <xf numFmtId="0" fontId="56" fillId="5" borderId="11" xfId="0" applyFont="1" applyFill="1" applyBorder="1" applyAlignment="1" applyProtection="1">
      <alignment horizontal="center"/>
    </xf>
    <xf numFmtId="0" fontId="57" fillId="3" borderId="6" xfId="0" applyFont="1" applyFill="1" applyBorder="1" applyAlignment="1" applyProtection="1">
      <alignment horizontal="center" vertical="center"/>
      <protection locked="0"/>
    </xf>
    <xf numFmtId="0" fontId="57" fillId="3" borderId="4" xfId="0" applyFont="1" applyFill="1" applyBorder="1" applyAlignment="1" applyProtection="1">
      <alignment horizontal="center" vertical="center"/>
      <protection locked="0"/>
    </xf>
    <xf numFmtId="0" fontId="57" fillId="3" borderId="5" xfId="0" applyFont="1" applyFill="1" applyBorder="1" applyAlignment="1" applyProtection="1">
      <alignment horizontal="center" vertical="center"/>
      <protection locked="0"/>
    </xf>
    <xf numFmtId="0" fontId="57" fillId="4" borderId="6" xfId="0" applyFont="1" applyFill="1" applyBorder="1" applyAlignment="1" applyProtection="1">
      <alignment horizontal="center" vertical="center"/>
    </xf>
    <xf numFmtId="0" fontId="57" fillId="4" borderId="4" xfId="0" applyFont="1" applyFill="1" applyBorder="1" applyAlignment="1" applyProtection="1">
      <alignment horizontal="center" vertical="center"/>
    </xf>
    <xf numFmtId="0" fontId="57" fillId="4" borderId="5" xfId="0" applyFont="1" applyFill="1" applyBorder="1" applyAlignment="1" applyProtection="1">
      <alignment horizontal="center" vertical="center"/>
    </xf>
    <xf numFmtId="0" fontId="56" fillId="5" borderId="0" xfId="0" applyFont="1" applyFill="1" applyBorder="1" applyAlignment="1" applyProtection="1">
      <alignment horizontal="center"/>
    </xf>
    <xf numFmtId="14" fontId="56" fillId="5" borderId="4" xfId="0" applyNumberFormat="1" applyFont="1" applyFill="1" applyBorder="1" applyAlignment="1" applyProtection="1">
      <alignment horizontal="center" vertical="center"/>
    </xf>
    <xf numFmtId="14" fontId="56" fillId="5" borderId="5" xfId="0" applyNumberFormat="1" applyFont="1" applyFill="1" applyBorder="1" applyAlignment="1" applyProtection="1">
      <alignment horizontal="center" vertical="center"/>
    </xf>
    <xf numFmtId="0" fontId="56" fillId="5" borderId="10" xfId="0" applyFont="1" applyFill="1" applyBorder="1" applyAlignment="1" applyProtection="1">
      <alignment horizontal="center"/>
    </xf>
    <xf numFmtId="0" fontId="74" fillId="4" borderId="4" xfId="0" applyFont="1" applyFill="1" applyBorder="1" applyAlignment="1" applyProtection="1">
      <alignment horizontal="center"/>
      <protection locked="0"/>
    </xf>
    <xf numFmtId="0" fontId="74" fillId="4" borderId="5" xfId="0" applyFont="1" applyFill="1" applyBorder="1" applyAlignment="1" applyProtection="1">
      <alignment horizontal="center"/>
      <protection locked="0"/>
    </xf>
    <xf numFmtId="0" fontId="74" fillId="7" borderId="4" xfId="0" applyFont="1" applyFill="1" applyBorder="1" applyAlignment="1" applyProtection="1">
      <alignment horizontal="center"/>
      <protection locked="0"/>
    </xf>
    <xf numFmtId="0" fontId="74" fillId="7" borderId="5" xfId="0" applyFont="1" applyFill="1" applyBorder="1" applyAlignment="1" applyProtection="1">
      <alignment horizontal="center"/>
      <protection locked="0"/>
    </xf>
    <xf numFmtId="0" fontId="63" fillId="48" borderId="88" xfId="0" applyFont="1" applyFill="1" applyBorder="1" applyAlignment="1" applyProtection="1">
      <alignment horizontal="center" vertical="center" wrapText="1"/>
      <protection locked="0"/>
    </xf>
    <xf numFmtId="0" fontId="63" fillId="48" borderId="66" xfId="0" applyFont="1" applyFill="1" applyBorder="1" applyAlignment="1" applyProtection="1">
      <alignment horizontal="center" vertical="center" wrapText="1"/>
      <protection locked="0"/>
    </xf>
    <xf numFmtId="0" fontId="63" fillId="48" borderId="89" xfId="0" applyFont="1" applyFill="1" applyBorder="1" applyAlignment="1" applyProtection="1">
      <alignment horizontal="center" vertical="center" wrapText="1"/>
      <protection locked="0"/>
    </xf>
    <xf numFmtId="4" fontId="56" fillId="2" borderId="1" xfId="0" applyNumberFormat="1" applyFont="1" applyFill="1" applyBorder="1" applyAlignment="1" applyProtection="1">
      <alignment horizontal="center"/>
    </xf>
    <xf numFmtId="4" fontId="56" fillId="2" borderId="3" xfId="0" applyNumberFormat="1" applyFont="1" applyFill="1" applyBorder="1" applyAlignment="1" applyProtection="1">
      <alignment horizontal="center"/>
    </xf>
    <xf numFmtId="4" fontId="56" fillId="2" borderId="6" xfId="0" applyNumberFormat="1" applyFont="1" applyFill="1" applyBorder="1" applyAlignment="1" applyProtection="1">
      <alignment horizontal="center"/>
    </xf>
    <xf numFmtId="4" fontId="56" fillId="2" borderId="5" xfId="0" applyNumberFormat="1" applyFont="1" applyFill="1" applyBorder="1" applyAlignment="1" applyProtection="1">
      <alignment horizontal="center"/>
    </xf>
    <xf numFmtId="49" fontId="58" fillId="7" borderId="9" xfId="0" applyNumberFormat="1" applyFont="1" applyFill="1" applyBorder="1" applyAlignment="1" applyProtection="1">
      <alignment horizontal="center"/>
    </xf>
    <xf numFmtId="49" fontId="58" fillId="7" borderId="11" xfId="0" applyNumberFormat="1" applyFont="1" applyFill="1" applyBorder="1" applyAlignment="1" applyProtection="1">
      <alignment horizontal="center"/>
    </xf>
    <xf numFmtId="4" fontId="58" fillId="7" borderId="9" xfId="0" applyNumberFormat="1" applyFont="1" applyFill="1" applyBorder="1" applyAlignment="1" applyProtection="1">
      <alignment horizontal="center"/>
    </xf>
    <xf numFmtId="4" fontId="58" fillId="7" borderId="11" xfId="0" applyNumberFormat="1" applyFont="1" applyFill="1" applyBorder="1" applyAlignment="1" applyProtection="1">
      <alignment horizontal="center"/>
    </xf>
    <xf numFmtId="0" fontId="58" fillId="51" borderId="78" xfId="0" applyFont="1" applyFill="1" applyBorder="1" applyAlignment="1" applyProtection="1">
      <alignment horizontal="center" vertical="center" wrapText="1"/>
      <protection locked="0"/>
    </xf>
    <xf numFmtId="0" fontId="58" fillId="51" borderId="79" xfId="0" applyFont="1" applyFill="1" applyBorder="1" applyAlignment="1" applyProtection="1">
      <alignment horizontal="center" vertical="center" wrapText="1"/>
      <protection locked="0"/>
    </xf>
    <xf numFmtId="0" fontId="56" fillId="5" borderId="1" xfId="0" applyNumberFormat="1" applyFont="1" applyFill="1" applyBorder="1" applyAlignment="1" applyProtection="1">
      <alignment horizontal="center" wrapText="1"/>
    </xf>
    <xf numFmtId="0" fontId="56" fillId="5" borderId="2" xfId="0" applyNumberFormat="1" applyFont="1" applyFill="1" applyBorder="1" applyAlignment="1" applyProtection="1">
      <alignment horizontal="center" wrapText="1"/>
    </xf>
    <xf numFmtId="0" fontId="56" fillId="5" borderId="3" xfId="0" applyNumberFormat="1" applyFont="1" applyFill="1" applyBorder="1" applyAlignment="1" applyProtection="1">
      <alignment horizontal="center" wrapText="1"/>
    </xf>
    <xf numFmtId="0" fontId="56" fillId="5" borderId="1" xfId="0" applyNumberFormat="1" applyFont="1" applyFill="1" applyBorder="1" applyAlignment="1" applyProtection="1">
      <alignment horizontal="center"/>
    </xf>
    <xf numFmtId="0" fontId="56" fillId="5" borderId="2" xfId="0" applyNumberFormat="1" applyFont="1" applyFill="1" applyBorder="1" applyAlignment="1" applyProtection="1">
      <alignment horizontal="center"/>
    </xf>
    <xf numFmtId="0" fontId="56" fillId="5" borderId="3" xfId="0" applyNumberFormat="1" applyFont="1" applyFill="1" applyBorder="1" applyAlignment="1" applyProtection="1">
      <alignment horizontal="center"/>
    </xf>
    <xf numFmtId="166" fontId="58" fillId="4" borderId="1" xfId="0" applyNumberFormat="1" applyFont="1" applyFill="1" applyBorder="1" applyAlignment="1" applyProtection="1">
      <alignment horizontal="center"/>
    </xf>
    <xf numFmtId="166" fontId="58" fillId="4" borderId="3" xfId="0" applyNumberFormat="1" applyFont="1" applyFill="1" applyBorder="1" applyAlignment="1" applyProtection="1">
      <alignment horizontal="center"/>
    </xf>
    <xf numFmtId="0" fontId="58" fillId="4" borderId="1" xfId="0" applyFont="1" applyFill="1" applyBorder="1" applyAlignment="1" applyProtection="1">
      <alignment horizontal="center"/>
    </xf>
    <xf numFmtId="0" fontId="58" fillId="4" borderId="3" xfId="0" applyFont="1" applyFill="1" applyBorder="1" applyAlignment="1" applyProtection="1">
      <alignment horizontal="center"/>
    </xf>
    <xf numFmtId="170" fontId="58" fillId="4" borderId="1" xfId="0" applyNumberFormat="1" applyFont="1" applyFill="1" applyBorder="1" applyAlignment="1" applyProtection="1">
      <alignment horizontal="center"/>
    </xf>
    <xf numFmtId="166" fontId="58" fillId="7" borderId="1" xfId="0" applyNumberFormat="1" applyFont="1" applyFill="1" applyBorder="1" applyAlignment="1" applyProtection="1">
      <alignment horizontal="center"/>
    </xf>
    <xf numFmtId="166" fontId="58" fillId="7" borderId="3" xfId="0" applyNumberFormat="1" applyFont="1" applyFill="1" applyBorder="1" applyAlignment="1" applyProtection="1">
      <alignment horizontal="center"/>
    </xf>
    <xf numFmtId="0" fontId="58" fillId="7" borderId="1" xfId="0" applyFont="1" applyFill="1" applyBorder="1" applyAlignment="1" applyProtection="1">
      <alignment horizontal="center"/>
    </xf>
    <xf numFmtId="0" fontId="58" fillId="7" borderId="3" xfId="0" applyFont="1" applyFill="1" applyBorder="1" applyAlignment="1" applyProtection="1">
      <alignment horizontal="center"/>
    </xf>
    <xf numFmtId="166" fontId="58" fillId="10" borderId="1" xfId="0" applyNumberFormat="1" applyFont="1" applyFill="1" applyBorder="1" applyAlignment="1" applyProtection="1">
      <alignment horizontal="center"/>
    </xf>
    <xf numFmtId="0" fontId="58" fillId="10" borderId="3" xfId="0" applyFont="1" applyFill="1" applyBorder="1" applyAlignment="1" applyProtection="1">
      <alignment horizontal="center"/>
    </xf>
    <xf numFmtId="166" fontId="58" fillId="11" borderId="1" xfId="0" applyNumberFormat="1" applyFont="1" applyFill="1" applyBorder="1" applyAlignment="1" applyProtection="1">
      <alignment horizontal="center"/>
    </xf>
    <xf numFmtId="166" fontId="58" fillId="11" borderId="3" xfId="0" applyNumberFormat="1" applyFont="1" applyFill="1" applyBorder="1" applyAlignment="1" applyProtection="1">
      <alignment horizontal="center"/>
    </xf>
    <xf numFmtId="49" fontId="58" fillId="10" borderId="9" xfId="0" applyNumberFormat="1" applyFont="1" applyFill="1" applyBorder="1" applyAlignment="1" applyProtection="1">
      <alignment horizontal="center"/>
    </xf>
    <xf numFmtId="49" fontId="58" fillId="10" borderId="11" xfId="0" applyNumberFormat="1" applyFont="1" applyFill="1" applyBorder="1" applyAlignment="1" applyProtection="1">
      <alignment horizontal="center"/>
    </xf>
    <xf numFmtId="166" fontId="58" fillId="4" borderId="3" xfId="0" applyNumberFormat="1" applyFont="1" applyFill="1" applyBorder="1" applyAlignment="1" applyProtection="1">
      <alignment horizontal="center"/>
      <protection locked="0"/>
    </xf>
    <xf numFmtId="0" fontId="56" fillId="3" borderId="6" xfId="0" applyFont="1" applyFill="1" applyBorder="1" applyAlignment="1" applyProtection="1">
      <alignment horizontal="center" vertical="center" wrapText="1"/>
      <protection locked="0"/>
    </xf>
    <xf numFmtId="0" fontId="56" fillId="3" borderId="4" xfId="0" applyFont="1" applyFill="1" applyBorder="1" applyAlignment="1" applyProtection="1">
      <alignment horizontal="center" vertical="center" wrapText="1"/>
      <protection locked="0"/>
    </xf>
    <xf numFmtId="0" fontId="56" fillId="4" borderId="6" xfId="0" applyFont="1" applyFill="1" applyBorder="1" applyAlignment="1" applyProtection="1">
      <alignment horizontal="center" vertical="center" wrapText="1"/>
      <protection locked="0"/>
    </xf>
    <xf numFmtId="0" fontId="56" fillId="4" borderId="5" xfId="0" applyFont="1" applyFill="1" applyBorder="1" applyAlignment="1" applyProtection="1">
      <alignment horizontal="center" vertical="center" wrapText="1"/>
      <protection locked="0"/>
    </xf>
    <xf numFmtId="0" fontId="56" fillId="11" borderId="6" xfId="0" applyFont="1" applyFill="1" applyBorder="1" applyAlignment="1" applyProtection="1">
      <alignment horizontal="center" vertical="center" wrapText="1"/>
      <protection locked="0"/>
    </xf>
    <xf numFmtId="0" fontId="56" fillId="11" borderId="5" xfId="0" applyFont="1" applyFill="1" applyBorder="1" applyAlignment="1" applyProtection="1">
      <alignment horizontal="center" vertical="center" wrapText="1"/>
      <protection locked="0"/>
    </xf>
    <xf numFmtId="0" fontId="56" fillId="6" borderId="6" xfId="0" applyFont="1" applyFill="1" applyBorder="1" applyAlignment="1" applyProtection="1">
      <alignment horizontal="center" vertical="center" wrapText="1"/>
      <protection locked="0"/>
    </xf>
    <xf numFmtId="0" fontId="56" fillId="6" borderId="5" xfId="0" applyFont="1" applyFill="1" applyBorder="1" applyAlignment="1" applyProtection="1">
      <alignment horizontal="center" vertical="center" wrapText="1"/>
      <protection locked="0"/>
    </xf>
    <xf numFmtId="0" fontId="56" fillId="44" borderId="6" xfId="0" applyFont="1" applyFill="1" applyBorder="1" applyAlignment="1" applyProtection="1">
      <alignment horizontal="center" vertical="center" wrapText="1"/>
      <protection locked="0"/>
    </xf>
    <xf numFmtId="0" fontId="56" fillId="44" borderId="5" xfId="0" applyFont="1" applyFill="1" applyBorder="1" applyAlignment="1" applyProtection="1">
      <alignment horizontal="center" vertical="center" wrapText="1"/>
      <protection locked="0"/>
    </xf>
    <xf numFmtId="0" fontId="58" fillId="10" borderId="6" xfId="0" applyFont="1" applyFill="1" applyBorder="1" applyAlignment="1" applyProtection="1">
      <alignment horizontal="center" vertical="center" wrapText="1"/>
      <protection locked="0"/>
    </xf>
    <xf numFmtId="0" fontId="58" fillId="10" borderId="5" xfId="0" applyFont="1" applyFill="1" applyBorder="1" applyAlignment="1" applyProtection="1">
      <alignment horizontal="center" vertical="center" wrapText="1"/>
      <protection locked="0"/>
    </xf>
    <xf numFmtId="0" fontId="56" fillId="0" borderId="0" xfId="0" applyFont="1" applyBorder="1" applyAlignment="1" applyProtection="1">
      <alignment horizontal="center" vertical="center"/>
      <protection locked="0"/>
    </xf>
    <xf numFmtId="166" fontId="58" fillId="7" borderId="3" xfId="0" applyNumberFormat="1" applyFont="1" applyFill="1" applyBorder="1" applyAlignment="1" applyProtection="1">
      <alignment horizontal="center"/>
      <protection locked="0"/>
    </xf>
    <xf numFmtId="170" fontId="58" fillId="44" borderId="6" xfId="0" applyNumberFormat="1" applyFont="1" applyFill="1" applyBorder="1" applyAlignment="1" applyProtection="1">
      <alignment horizontal="center"/>
    </xf>
    <xf numFmtId="0" fontId="58" fillId="44" borderId="5" xfId="0" applyFont="1" applyFill="1" applyBorder="1" applyAlignment="1" applyProtection="1">
      <alignment horizontal="center"/>
    </xf>
    <xf numFmtId="166" fontId="58" fillId="10" borderId="1" xfId="0" applyNumberFormat="1" applyFont="1" applyFill="1" applyBorder="1" applyAlignment="1" applyProtection="1">
      <alignment horizontal="center"/>
      <protection locked="0"/>
    </xf>
    <xf numFmtId="49" fontId="58" fillId="2" borderId="9" xfId="0" applyNumberFormat="1" applyFont="1" applyFill="1" applyBorder="1" applyAlignment="1" applyProtection="1">
      <alignment horizontal="center"/>
      <protection locked="0"/>
    </xf>
    <xf numFmtId="49" fontId="58" fillId="2" borderId="11" xfId="0" applyNumberFormat="1" applyFont="1" applyFill="1" applyBorder="1" applyAlignment="1" applyProtection="1">
      <alignment horizontal="center"/>
      <protection locked="0"/>
    </xf>
    <xf numFmtId="4" fontId="58" fillId="2" borderId="6" xfId="0" applyNumberFormat="1" applyFont="1" applyFill="1" applyBorder="1" applyAlignment="1" applyProtection="1">
      <alignment horizontal="center"/>
      <protection locked="0"/>
    </xf>
    <xf numFmtId="4" fontId="58" fillId="2" borderId="5" xfId="0" applyNumberFormat="1" applyFont="1" applyFill="1" applyBorder="1" applyAlignment="1" applyProtection="1">
      <alignment horizontal="center"/>
      <protection locked="0"/>
    </xf>
    <xf numFmtId="49" fontId="58" fillId="11" borderId="9" xfId="0" applyNumberFormat="1" applyFont="1" applyFill="1" applyBorder="1" applyAlignment="1" applyProtection="1">
      <alignment horizontal="center"/>
    </xf>
    <xf numFmtId="49" fontId="58" fillId="11" borderId="11" xfId="0" applyNumberFormat="1" applyFont="1" applyFill="1" applyBorder="1" applyAlignment="1" applyProtection="1">
      <alignment horizontal="center"/>
    </xf>
    <xf numFmtId="4" fontId="58" fillId="10" borderId="9" xfId="0" applyNumberFormat="1" applyFont="1" applyFill="1" applyBorder="1" applyAlignment="1" applyProtection="1">
      <alignment horizontal="center"/>
    </xf>
    <xf numFmtId="4" fontId="58" fillId="10" borderId="11" xfId="0" applyNumberFormat="1" applyFont="1" applyFill="1" applyBorder="1" applyAlignment="1" applyProtection="1">
      <alignment horizontal="center"/>
    </xf>
    <xf numFmtId="170" fontId="58" fillId="11" borderId="6" xfId="0" applyNumberFormat="1" applyFont="1" applyFill="1" applyBorder="1" applyAlignment="1" applyProtection="1">
      <alignment horizontal="center"/>
    </xf>
    <xf numFmtId="170" fontId="58" fillId="11" borderId="5" xfId="0" applyNumberFormat="1" applyFont="1" applyFill="1" applyBorder="1" applyAlignment="1" applyProtection="1">
      <alignment horizontal="center"/>
    </xf>
    <xf numFmtId="0" fontId="58" fillId="10" borderId="1" xfId="0" applyFont="1" applyFill="1" applyBorder="1" applyAlignment="1" applyProtection="1">
      <alignment horizontal="center"/>
    </xf>
    <xf numFmtId="170" fontId="58" fillId="10" borderId="6" xfId="0" applyNumberFormat="1" applyFont="1" applyFill="1" applyBorder="1" applyAlignment="1" applyProtection="1">
      <alignment horizontal="center"/>
    </xf>
    <xf numFmtId="170" fontId="58" fillId="10" borderId="5" xfId="0" applyNumberFormat="1" applyFont="1" applyFill="1" applyBorder="1" applyAlignment="1" applyProtection="1">
      <alignment horizontal="center"/>
    </xf>
    <xf numFmtId="0" fontId="58" fillId="11" borderId="1" xfId="0" applyFont="1" applyFill="1" applyBorder="1" applyAlignment="1" applyProtection="1">
      <alignment horizontal="center"/>
    </xf>
    <xf numFmtId="0" fontId="58" fillId="11" borderId="3" xfId="0" applyFont="1" applyFill="1" applyBorder="1" applyAlignment="1" applyProtection="1">
      <alignment horizontal="center"/>
    </xf>
    <xf numFmtId="4" fontId="58" fillId="11" borderId="9" xfId="0" applyNumberFormat="1" applyFont="1" applyFill="1" applyBorder="1" applyAlignment="1" applyProtection="1">
      <alignment horizontal="center"/>
    </xf>
    <xf numFmtId="4" fontId="58" fillId="11" borderId="11" xfId="0" applyNumberFormat="1" applyFont="1" applyFill="1" applyBorder="1" applyAlignment="1" applyProtection="1">
      <alignment horizontal="center"/>
    </xf>
    <xf numFmtId="10" fontId="56" fillId="45" borderId="62" xfId="0" applyNumberFormat="1" applyFont="1" applyFill="1" applyBorder="1" applyAlignment="1" applyProtection="1">
      <alignment horizontal="center" vertical="center"/>
      <protection locked="0"/>
    </xf>
    <xf numFmtId="10" fontId="56" fillId="45" borderId="63" xfId="0" applyNumberFormat="1" applyFont="1" applyFill="1" applyBorder="1" applyAlignment="1" applyProtection="1">
      <alignment horizontal="center" vertical="center"/>
      <protection locked="0"/>
    </xf>
    <xf numFmtId="9" fontId="58" fillId="45" borderId="10" xfId="0" applyNumberFormat="1" applyFont="1" applyFill="1" applyBorder="1" applyAlignment="1" applyProtection="1">
      <alignment horizontal="center" vertical="center" wrapText="1"/>
      <protection locked="0"/>
    </xf>
    <xf numFmtId="0" fontId="58" fillId="45" borderId="11" xfId="0" applyFont="1" applyFill="1" applyBorder="1" applyAlignment="1" applyProtection="1">
      <alignment horizontal="center" vertical="center" wrapText="1"/>
      <protection locked="0"/>
    </xf>
    <xf numFmtId="14" fontId="58" fillId="45" borderId="64" xfId="0" applyNumberFormat="1" applyFont="1" applyFill="1" applyBorder="1" applyAlignment="1" applyProtection="1">
      <alignment horizontal="center" vertical="center"/>
      <protection locked="0"/>
    </xf>
    <xf numFmtId="0" fontId="58" fillId="45" borderId="65" xfId="0" applyFont="1" applyFill="1" applyBorder="1" applyAlignment="1" applyProtection="1">
      <alignment horizontal="center" vertical="center"/>
      <protection locked="0"/>
    </xf>
    <xf numFmtId="0" fontId="56" fillId="45" borderId="67" xfId="0" applyFont="1" applyFill="1" applyBorder="1" applyAlignment="1" applyProtection="1">
      <alignment horizontal="center" vertical="center" wrapText="1"/>
      <protection locked="0"/>
    </xf>
    <xf numFmtId="0" fontId="56" fillId="45" borderId="68" xfId="0" applyFont="1" applyFill="1" applyBorder="1" applyAlignment="1" applyProtection="1">
      <alignment horizontal="center" vertical="center" wrapText="1"/>
      <protection locked="0"/>
    </xf>
    <xf numFmtId="0" fontId="63" fillId="0" borderId="7" xfId="0" applyFont="1" applyBorder="1" applyAlignment="1" applyProtection="1">
      <alignment horizontal="left" vertical="center"/>
    </xf>
    <xf numFmtId="1" fontId="56" fillId="45" borderId="62" xfId="0" applyNumberFormat="1" applyFont="1" applyFill="1" applyBorder="1" applyAlignment="1" applyProtection="1">
      <alignment horizontal="center" vertical="center"/>
      <protection locked="0"/>
    </xf>
    <xf numFmtId="0" fontId="56" fillId="45" borderId="63" xfId="0" applyFont="1" applyFill="1" applyBorder="1" applyAlignment="1" applyProtection="1">
      <alignment horizontal="center" vertical="center"/>
      <protection locked="0"/>
    </xf>
    <xf numFmtId="0" fontId="56" fillId="45" borderId="63" xfId="0" applyNumberFormat="1" applyFont="1" applyFill="1" applyBorder="1" applyAlignment="1" applyProtection="1">
      <alignment horizontal="center" vertical="center"/>
      <protection locked="0"/>
    </xf>
    <xf numFmtId="14" fontId="56" fillId="45" borderId="62" xfId="0" applyNumberFormat="1" applyFont="1" applyFill="1" applyBorder="1" applyAlignment="1" applyProtection="1">
      <alignment horizontal="center" vertical="center"/>
      <protection locked="0"/>
    </xf>
    <xf numFmtId="14" fontId="56" fillId="45" borderId="63" xfId="0" applyNumberFormat="1" applyFont="1" applyFill="1" applyBorder="1" applyAlignment="1" applyProtection="1">
      <alignment horizontal="center" vertical="center"/>
      <protection locked="0"/>
    </xf>
    <xf numFmtId="0" fontId="60" fillId="2" borderId="6" xfId="0" applyFont="1" applyFill="1" applyBorder="1" applyAlignment="1">
      <alignment horizontal="center"/>
    </xf>
    <xf numFmtId="0" fontId="60" fillId="2" borderId="4" xfId="0" applyFont="1" applyFill="1" applyBorder="1" applyAlignment="1">
      <alignment horizontal="center"/>
    </xf>
    <xf numFmtId="0" fontId="60" fillId="2" borderId="5" xfId="0" applyFont="1" applyFill="1" applyBorder="1" applyAlignment="1">
      <alignment horizontal="center"/>
    </xf>
    <xf numFmtId="0" fontId="41" fillId="50" borderId="31" xfId="0" applyFont="1" applyFill="1" applyBorder="1" applyAlignment="1">
      <alignment horizontal="left" vertical="top" wrapText="1"/>
    </xf>
    <xf numFmtId="0" fontId="41" fillId="50" borderId="28" xfId="0" applyFont="1" applyFill="1" applyBorder="1" applyAlignment="1">
      <alignment horizontal="left" vertical="top" wrapText="1"/>
    </xf>
    <xf numFmtId="0" fontId="95" fillId="2" borderId="6" xfId="0" applyFont="1" applyFill="1" applyBorder="1" applyAlignment="1">
      <alignment horizontal="center"/>
    </xf>
    <xf numFmtId="0" fontId="95" fillId="2" borderId="4" xfId="0" applyFont="1" applyFill="1" applyBorder="1" applyAlignment="1">
      <alignment horizontal="center"/>
    </xf>
    <xf numFmtId="0" fontId="95" fillId="2" borderId="5" xfId="0" applyFont="1" applyFill="1" applyBorder="1" applyAlignment="1">
      <alignment horizontal="center"/>
    </xf>
    <xf numFmtId="0" fontId="65" fillId="2" borderId="92" xfId="0" applyFont="1" applyFill="1" applyBorder="1" applyAlignment="1">
      <alignment horizontal="center" vertical="center" wrapText="1"/>
    </xf>
    <xf numFmtId="0" fontId="65" fillId="2" borderId="93" xfId="0" applyFont="1" applyFill="1" applyBorder="1" applyAlignment="1">
      <alignment horizontal="center" vertical="center" wrapText="1"/>
    </xf>
    <xf numFmtId="0" fontId="65" fillId="55" borderId="92" xfId="0" applyFont="1" applyFill="1" applyBorder="1" applyAlignment="1">
      <alignment horizontal="center" vertical="center" wrapText="1"/>
    </xf>
    <xf numFmtId="0" fontId="65" fillId="55" borderId="93" xfId="0" applyFont="1" applyFill="1" applyBorder="1" applyAlignment="1">
      <alignment horizontal="center" vertical="center" wrapText="1"/>
    </xf>
    <xf numFmtId="0" fontId="65" fillId="54" borderId="90" xfId="0" applyFont="1" applyFill="1" applyBorder="1" applyAlignment="1">
      <alignment horizontal="center" vertical="center" wrapText="1"/>
    </xf>
    <xf numFmtId="0" fontId="65" fillId="9" borderId="93" xfId="0" applyFont="1" applyFill="1" applyBorder="1" applyAlignment="1">
      <alignment horizontal="center" vertical="center" wrapText="1"/>
    </xf>
    <xf numFmtId="0" fontId="65" fillId="9" borderId="96" xfId="0" applyFont="1" applyFill="1" applyBorder="1" applyAlignment="1">
      <alignment horizontal="center" vertical="center" wrapText="1"/>
    </xf>
    <xf numFmtId="0" fontId="69" fillId="50" borderId="31" xfId="0" applyFont="1" applyFill="1" applyBorder="1" applyAlignment="1">
      <alignment horizontal="left" vertical="center" wrapText="1"/>
    </xf>
    <xf numFmtId="0" fontId="69" fillId="50" borderId="28" xfId="0" applyFont="1" applyFill="1" applyBorder="1" applyAlignment="1">
      <alignment horizontal="left" vertical="center" wrapText="1"/>
    </xf>
  </cellXfs>
  <cellStyles count="54">
    <cellStyle name="20 % - Akzent1 2" xfId="5" xr:uid="{00000000-0005-0000-0000-000000000000}"/>
    <cellStyle name="20 % - Akzent2 2" xfId="6" xr:uid="{00000000-0005-0000-0000-000001000000}"/>
    <cellStyle name="20 % - Akzent3 2" xfId="7" xr:uid="{00000000-0005-0000-0000-000002000000}"/>
    <cellStyle name="20 % - Akzent4 2" xfId="8" xr:uid="{00000000-0005-0000-0000-000003000000}"/>
    <cellStyle name="20 % - Akzent5 2" xfId="9" xr:uid="{00000000-0005-0000-0000-000004000000}"/>
    <cellStyle name="20 % - Akzent6 2" xfId="10" xr:uid="{00000000-0005-0000-0000-000005000000}"/>
    <cellStyle name="40 % - Akzent1 2" xfId="11" xr:uid="{00000000-0005-0000-0000-000006000000}"/>
    <cellStyle name="40 % - Akzent2 2" xfId="12" xr:uid="{00000000-0005-0000-0000-000007000000}"/>
    <cellStyle name="40 % - Akzent3 2" xfId="13" xr:uid="{00000000-0005-0000-0000-000008000000}"/>
    <cellStyle name="40 % - Akzent4 2" xfId="14" xr:uid="{00000000-0005-0000-0000-000009000000}"/>
    <cellStyle name="40 % - Akzent5 2" xfId="15" xr:uid="{00000000-0005-0000-0000-00000A000000}"/>
    <cellStyle name="40 % - Akzent6 2" xfId="16" xr:uid="{00000000-0005-0000-0000-00000B000000}"/>
    <cellStyle name="60 % - Akzent1 2" xfId="17" xr:uid="{00000000-0005-0000-0000-00000C000000}"/>
    <cellStyle name="60 % - Akzent2 2" xfId="18" xr:uid="{00000000-0005-0000-0000-00000D000000}"/>
    <cellStyle name="60 % - Akzent3 2" xfId="19" xr:uid="{00000000-0005-0000-0000-00000E000000}"/>
    <cellStyle name="60 % - Akzent4 2" xfId="20" xr:uid="{00000000-0005-0000-0000-00000F000000}"/>
    <cellStyle name="60 % - Akzent5 2" xfId="21" xr:uid="{00000000-0005-0000-0000-000010000000}"/>
    <cellStyle name="60 % - Akzent6 2" xfId="22" xr:uid="{00000000-0005-0000-0000-000011000000}"/>
    <cellStyle name="Akzent1 2" xfId="23" xr:uid="{00000000-0005-0000-0000-000012000000}"/>
    <cellStyle name="Akzent2 2" xfId="24" xr:uid="{00000000-0005-0000-0000-000013000000}"/>
    <cellStyle name="Akzent3 2" xfId="25" xr:uid="{00000000-0005-0000-0000-000014000000}"/>
    <cellStyle name="Akzent4 2" xfId="26" xr:uid="{00000000-0005-0000-0000-000015000000}"/>
    <cellStyle name="Akzent5 2" xfId="27" xr:uid="{00000000-0005-0000-0000-000016000000}"/>
    <cellStyle name="Akzent6 2" xfId="28" xr:uid="{00000000-0005-0000-0000-000017000000}"/>
    <cellStyle name="Ausgabe 2" xfId="29" xr:uid="{00000000-0005-0000-0000-000018000000}"/>
    <cellStyle name="Berechnung 2" xfId="30" xr:uid="{00000000-0005-0000-0000-000019000000}"/>
    <cellStyle name="Eingabe 2" xfId="31" xr:uid="{00000000-0005-0000-0000-00001A000000}"/>
    <cellStyle name="Ergebnis 2" xfId="32" xr:uid="{00000000-0005-0000-0000-00001B000000}"/>
    <cellStyle name="Erklärender Text 2" xfId="33" xr:uid="{00000000-0005-0000-0000-00001C000000}"/>
    <cellStyle name="Gut 2" xfId="34" xr:uid="{00000000-0005-0000-0000-00001D000000}"/>
    <cellStyle name="Link" xfId="49" builtinId="8"/>
    <cellStyle name="Neutral 2" xfId="35" xr:uid="{00000000-0005-0000-0000-00001F000000}"/>
    <cellStyle name="Notiz 2" xfId="36" xr:uid="{00000000-0005-0000-0000-000020000000}"/>
    <cellStyle name="Prozent" xfId="45" builtinId="5"/>
    <cellStyle name="Schlecht 2" xfId="37" xr:uid="{00000000-0005-0000-0000-000022000000}"/>
    <cellStyle name="Standard" xfId="0" builtinId="0"/>
    <cellStyle name="Standard 2" xfId="1" xr:uid="{00000000-0005-0000-0000-000024000000}"/>
    <cellStyle name="Standard 2 2" xfId="3" xr:uid="{00000000-0005-0000-0000-000025000000}"/>
    <cellStyle name="Standard 3" xfId="4" xr:uid="{00000000-0005-0000-0000-000026000000}"/>
    <cellStyle name="Standard 3 2" xfId="48" xr:uid="{00000000-0005-0000-0000-000027000000}"/>
    <cellStyle name="Standard 3 2 2" xfId="53" xr:uid="{00000000-0005-0000-0000-000028000000}"/>
    <cellStyle name="Standard 3 3" xfId="47" xr:uid="{00000000-0005-0000-0000-000029000000}"/>
    <cellStyle name="Standard 3 3 2" xfId="52" xr:uid="{00000000-0005-0000-0000-00002A000000}"/>
    <cellStyle name="Standard 3 4" xfId="51" xr:uid="{00000000-0005-0000-0000-00002B000000}"/>
    <cellStyle name="Standard 4" xfId="46" xr:uid="{00000000-0005-0000-0000-00002C000000}"/>
    <cellStyle name="Überschrift 1 2" xfId="38" xr:uid="{00000000-0005-0000-0000-00002D000000}"/>
    <cellStyle name="Überschrift 2 2" xfId="39" xr:uid="{00000000-0005-0000-0000-00002E000000}"/>
    <cellStyle name="Überschrift 3 2" xfId="40" xr:uid="{00000000-0005-0000-0000-00002F000000}"/>
    <cellStyle name="Überschrift 4 2" xfId="41" xr:uid="{00000000-0005-0000-0000-000030000000}"/>
    <cellStyle name="Verknüpfte Zelle 2" xfId="42" xr:uid="{00000000-0005-0000-0000-000031000000}"/>
    <cellStyle name="Währung" xfId="2" builtinId="4"/>
    <cellStyle name="Währung 2" xfId="50" xr:uid="{00000000-0005-0000-0000-000033000000}"/>
    <cellStyle name="Warnender Text 2" xfId="43" xr:uid="{00000000-0005-0000-0000-000034000000}"/>
    <cellStyle name="Zelle überprüfen 2" xfId="44" xr:uid="{00000000-0005-0000-0000-000035000000}"/>
  </cellStyles>
  <dxfs count="96">
    <dxf>
      <font>
        <strike val="0"/>
        <outline val="0"/>
        <shadow val="0"/>
        <u val="none"/>
        <vertAlign val="baseline"/>
        <sz val="11"/>
        <color theme="1"/>
        <name val="TheSans UHH"/>
        <family val="2"/>
        <scheme val="none"/>
      </font>
      <alignment horizontal="left" vertical="center" textRotation="0" indent="0" justifyLastLine="0" shrinkToFit="0" readingOrder="0"/>
    </dxf>
    <dxf>
      <font>
        <strike val="0"/>
        <outline val="0"/>
        <shadow val="0"/>
        <u val="none"/>
        <vertAlign val="baseline"/>
        <sz val="11"/>
        <color theme="1"/>
        <name val="TheSans UHH"/>
        <family val="2"/>
        <scheme val="none"/>
      </font>
      <alignment horizontal="left" vertical="center" textRotation="0" indent="0" justifyLastLine="0" shrinkToFit="0" readingOrder="0"/>
    </dxf>
    <dxf>
      <font>
        <strike val="0"/>
        <outline val="0"/>
        <shadow val="0"/>
        <u val="none"/>
        <vertAlign val="baseline"/>
        <sz val="11"/>
        <color theme="1"/>
        <name val="TheSans UHH"/>
        <family val="2"/>
        <scheme val="none"/>
      </font>
      <alignment horizontal="left" vertical="center" textRotation="0" indent="0" justifyLastLine="0" shrinkToFit="0" readingOrder="0"/>
    </dxf>
    <dxf>
      <font>
        <strike val="0"/>
        <outline val="0"/>
        <shadow val="0"/>
        <u val="none"/>
        <vertAlign val="baseline"/>
        <sz val="11"/>
        <color theme="1"/>
        <name val="TheSans UHH"/>
        <family val="2"/>
        <scheme val="none"/>
      </font>
      <alignment horizontal="left" vertical="center" textRotation="0" indent="0" justifyLastLine="0" shrinkToFit="0" readingOrder="0"/>
    </dxf>
    <dxf>
      <font>
        <strike val="0"/>
        <outline val="0"/>
        <shadow val="0"/>
        <u val="none"/>
        <vertAlign val="baseline"/>
        <sz val="11"/>
        <color theme="1"/>
        <name val="TheSans UHH"/>
        <family val="2"/>
        <scheme val="none"/>
      </font>
      <alignment horizontal="left" vertical="center" textRotation="0" indent="0" justifyLastLine="0" shrinkToFit="0" readingOrder="0"/>
    </dxf>
    <dxf>
      <fill>
        <patternFill>
          <bgColor theme="4" tint="0.59996337778862885"/>
        </patternFill>
      </fill>
    </dxf>
    <dxf>
      <font>
        <color rgb="FFFF0000"/>
      </font>
    </dxf>
    <dxf>
      <font>
        <color rgb="FFFF0000"/>
      </font>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FFFFCC"/>
      </font>
      <fill>
        <patternFill patternType="solid">
          <fgColor rgb="FFFFFFCC"/>
          <bgColor rgb="FFFFFFCC"/>
        </patternFill>
      </fill>
    </dxf>
    <dxf>
      <font>
        <color rgb="FFFFFFCC"/>
      </font>
      <fill>
        <patternFill patternType="solid">
          <fgColor rgb="FFFFFFCC"/>
          <bgColor rgb="FFFFFFCC"/>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FFFFCC"/>
      </font>
      <fill>
        <patternFill patternType="solid">
          <fgColor rgb="FFFFFFCC"/>
          <bgColor rgb="FFFFFFCC"/>
        </patternFill>
      </fill>
    </dxf>
    <dxf>
      <fill>
        <patternFill>
          <bgColor theme="5" tint="0.59996337778862885"/>
        </patternFill>
      </fill>
    </dxf>
    <dxf>
      <font>
        <color rgb="FFFFFFCC"/>
      </font>
      <fill>
        <patternFill patternType="solid">
          <fgColor rgb="FFFFFFCC"/>
          <bgColor rgb="FFFFFFCC"/>
        </patternFill>
      </fill>
    </dxf>
    <dxf>
      <font>
        <color rgb="FFFFFFCC"/>
      </font>
      <fill>
        <patternFill patternType="solid">
          <fgColor rgb="FFFFFFCC"/>
          <bgColor rgb="FFFFFFCC"/>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FFFFCC"/>
      </font>
      <fill>
        <patternFill patternType="solid">
          <fgColor rgb="FFFFFFCC"/>
          <bgColor rgb="FFFFFFCC"/>
        </patternFill>
      </fill>
    </dxf>
    <dxf>
      <fill>
        <patternFill>
          <bgColor theme="5" tint="0.59996337778862885"/>
        </patternFill>
      </fill>
    </dxf>
    <dxf>
      <font>
        <color rgb="FFFFFFCC"/>
      </font>
      <fill>
        <patternFill patternType="solid">
          <fgColor rgb="FFFFFFCC"/>
          <bgColor rgb="FFFFFFCC"/>
        </patternFill>
      </fill>
    </dxf>
    <dxf>
      <font>
        <color rgb="FFFFFFCC"/>
      </font>
      <fill>
        <patternFill patternType="solid">
          <fgColor rgb="FFFFFFCC"/>
          <bgColor rgb="FFFFFFCC"/>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FFFFCC"/>
      </font>
      <fill>
        <patternFill patternType="solid">
          <fgColor rgb="FFFFFFCC"/>
          <bgColor rgb="FFFFFFCC"/>
        </patternFill>
      </fill>
    </dxf>
    <dxf>
      <fill>
        <patternFill>
          <bgColor theme="5" tint="0.59996337778862885"/>
        </patternFill>
      </fill>
    </dxf>
    <dxf>
      <font>
        <color rgb="FFFFFFCC"/>
      </font>
      <fill>
        <patternFill patternType="solid">
          <fgColor rgb="FFFFFFCC"/>
          <bgColor rgb="FFFFFFCC"/>
        </patternFill>
      </fill>
    </dxf>
    <dxf>
      <fill>
        <patternFill>
          <bgColor theme="5" tint="0.59996337778862885"/>
        </patternFill>
      </fill>
    </dxf>
    <dxf>
      <font>
        <color rgb="FFFFFFCC"/>
      </font>
      <fill>
        <patternFill patternType="solid">
          <fgColor rgb="FFFFFFCC"/>
          <bgColor rgb="FFFFFFCC"/>
        </patternFill>
      </fill>
    </dxf>
    <dxf>
      <font>
        <color rgb="FFFFFFCC"/>
      </font>
      <fill>
        <patternFill patternType="solid">
          <fgColor rgb="FFFFFFCC"/>
          <bgColor rgb="FFFFFFCC"/>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theme="0"/>
      </font>
      <fill>
        <patternFill>
          <bgColor theme="0"/>
        </patternFill>
      </fill>
      <border>
        <right/>
        <top/>
        <bottom/>
      </border>
    </dxf>
    <dxf>
      <fill>
        <patternFill>
          <bgColor theme="4" tint="0.59996337778862885"/>
        </patternFill>
      </fill>
    </dxf>
    <dxf>
      <font>
        <color theme="0"/>
      </font>
      <fill>
        <patternFill>
          <bgColor theme="0"/>
        </patternFill>
      </fill>
      <border>
        <right/>
        <top/>
        <bottom/>
      </border>
    </dxf>
    <dxf>
      <font>
        <color rgb="FFFF0000"/>
      </font>
    </dxf>
    <dxf>
      <font>
        <color rgb="FFFF0000"/>
      </font>
    </dxf>
    <dxf>
      <font>
        <color theme="0"/>
      </font>
      <fill>
        <patternFill>
          <bgColor theme="0"/>
        </patternFill>
      </fill>
      <border>
        <right/>
        <top/>
        <bottom/>
      </border>
    </dxf>
    <dxf>
      <font>
        <color theme="0"/>
      </font>
      <fill>
        <patternFill>
          <bgColor theme="0"/>
        </patternFill>
      </fill>
      <border>
        <right/>
        <top/>
        <bottom/>
      </border>
    </dxf>
    <dxf>
      <font>
        <color theme="0"/>
      </font>
      <fill>
        <patternFill>
          <bgColor theme="0"/>
        </patternFill>
      </fill>
      <border>
        <right/>
        <top/>
        <bottom/>
      </border>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0"/>
        </patternFill>
      </fill>
    </dxf>
    <dxf>
      <font>
        <color theme="0"/>
      </font>
      <fill>
        <patternFill>
          <bgColor theme="0"/>
        </patternFill>
      </fill>
      <border>
        <right/>
        <top/>
        <bottom/>
      </border>
    </dxf>
    <dxf>
      <fill>
        <patternFill>
          <bgColor theme="4" tint="0.59996337778862885"/>
        </patternFill>
      </fill>
    </dxf>
    <dxf>
      <font>
        <color theme="0"/>
      </font>
      <fill>
        <patternFill>
          <bgColor theme="0"/>
        </patternFill>
      </fill>
      <border>
        <right/>
        <top/>
        <bottom/>
      </border>
    </dxf>
    <dxf>
      <fill>
        <patternFill>
          <bgColor theme="4" tint="0.59996337778862885"/>
        </patternFill>
      </fill>
    </dxf>
    <dxf>
      <fill>
        <patternFill>
          <bgColor theme="4"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9" defaultPivotStyle="PivotStyleLight16"/>
  <colors>
    <mruColors>
      <color rgb="FFCCECFF"/>
      <color rgb="FFFFFFCC"/>
      <color rgb="FF7FEF9A"/>
      <color rgb="FFFEC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HR-DM (U3,U4,U5AUF)'!$X$5" lockText="1"/>
</file>

<file path=xl/ctrlProps/ctrlProp10.xml><?xml version="1.0" encoding="utf-8"?>
<formControlPr xmlns="http://schemas.microsoft.com/office/spreadsheetml/2009/9/main" objectType="CheckBox" checked="Checked" fmlaLink="$X$9" lockText="1"/>
</file>

<file path=xl/ctrlProps/ctrlProp11.xml><?xml version="1.0" encoding="utf-8"?>
<formControlPr xmlns="http://schemas.microsoft.com/office/spreadsheetml/2009/9/main" objectType="CheckBox" fmlaLink="$X$6" lockText="1"/>
</file>

<file path=xl/ctrlProps/ctrlProp12.xml><?xml version="1.0" encoding="utf-8"?>
<formControlPr xmlns="http://schemas.microsoft.com/office/spreadsheetml/2009/9/main" objectType="CheckBox" checked="Checked" fmlaLink="$X$5" lockText="1"/>
</file>

<file path=xl/ctrlProps/ctrlProp13.xml><?xml version="1.0" encoding="utf-8"?>
<formControlPr xmlns="http://schemas.microsoft.com/office/spreadsheetml/2009/9/main" objectType="CheckBox" fmlaLink="$X$8" lockText="1"/>
</file>

<file path=xl/ctrlProps/ctrlProp14.xml><?xml version="1.0" encoding="utf-8"?>
<formControlPr xmlns="http://schemas.microsoft.com/office/spreadsheetml/2009/9/main" objectType="CheckBox" checked="Checked" fmlaLink="$X$9" lockText="1"/>
</file>

<file path=xl/ctrlProps/ctrlProp15.xml><?xml version="1.0" encoding="utf-8"?>
<formControlPr xmlns="http://schemas.microsoft.com/office/spreadsheetml/2009/9/main" objectType="CheckBox" checked="Checked" fmlaLink="$X$6" lockText="1"/>
</file>

<file path=xl/ctrlProps/ctrlProp16.xml><?xml version="1.0" encoding="utf-8"?>
<formControlPr xmlns="http://schemas.microsoft.com/office/spreadsheetml/2009/9/main" objectType="CheckBox" checked="Checked" fmlaLink="$X$5" lockText="1"/>
</file>

<file path=xl/ctrlProps/ctrlProp17.xml><?xml version="1.0" encoding="utf-8"?>
<formControlPr xmlns="http://schemas.microsoft.com/office/spreadsheetml/2009/9/main" objectType="CheckBox" fmlaLink="$X$8" lockText="1"/>
</file>

<file path=xl/ctrlProps/ctrlProp18.xml><?xml version="1.0" encoding="utf-8"?>
<formControlPr xmlns="http://schemas.microsoft.com/office/spreadsheetml/2009/9/main" objectType="CheckBox" checked="Checked" fmlaLink="$X$9" lockText="1"/>
</file>

<file path=xl/ctrlProps/ctrlProp19.xml><?xml version="1.0" encoding="utf-8"?>
<formControlPr xmlns="http://schemas.microsoft.com/office/spreadsheetml/2009/9/main" objectType="CheckBox" checked="Checked" fmlaLink="$X$6" lockText="1"/>
</file>

<file path=xl/ctrlProps/ctrlProp2.xml><?xml version="1.0" encoding="utf-8"?>
<formControlPr xmlns="http://schemas.microsoft.com/office/spreadsheetml/2009/9/main" objectType="CheckBox" checked="Checked" fmlaLink="'HR-DM (U3,U4,U5AUF)'!$X$9" lockText="1"/>
</file>

<file path=xl/ctrlProps/ctrlProp20.xml><?xml version="1.0" encoding="utf-8"?>
<formControlPr xmlns="http://schemas.microsoft.com/office/spreadsheetml/2009/9/main" objectType="CheckBox" checked="Checked" fmlaLink="$N$6" lockText="1"/>
</file>

<file path=xl/ctrlProps/ctrlProp21.xml><?xml version="1.0" encoding="utf-8"?>
<formControlPr xmlns="http://schemas.microsoft.com/office/spreadsheetml/2009/9/main" objectType="CheckBox" fmlaLink="$O$6" lockText="1"/>
</file>

<file path=xl/ctrlProps/ctrlProp22.xml><?xml version="1.0" encoding="utf-8"?>
<formControlPr xmlns="http://schemas.microsoft.com/office/spreadsheetml/2009/9/main" objectType="CheckBox" fmlaLink="$M$6" lockText="1"/>
</file>

<file path=xl/ctrlProps/ctrlProp3.xml><?xml version="1.0" encoding="utf-8"?>
<formControlPr xmlns="http://schemas.microsoft.com/office/spreadsheetml/2009/9/main" objectType="CheckBox" checked="Checked" fmlaLink="'HR-SHK, WHK u.Tut'!$N$6" lockText="1"/>
</file>

<file path=xl/ctrlProps/ctrlProp4.xml><?xml version="1.0" encoding="utf-8"?>
<formControlPr xmlns="http://schemas.microsoft.com/office/spreadsheetml/2009/9/main" objectType="CheckBox" checked="Checked" fmlaLink="'HR-AZA(P)'!$X$5" lockText="1"/>
</file>

<file path=xl/ctrlProps/ctrlProp5.xml><?xml version="1.0" encoding="utf-8"?>
<formControlPr xmlns="http://schemas.microsoft.com/office/spreadsheetml/2009/9/main" objectType="CheckBox" checked="Checked" fmlaLink="$X$5" lockText="1"/>
</file>

<file path=xl/ctrlProps/ctrlProp6.xml><?xml version="1.0" encoding="utf-8"?>
<formControlPr xmlns="http://schemas.microsoft.com/office/spreadsheetml/2009/9/main" objectType="CheckBox" fmlaLink="$X$8" lockText="1"/>
</file>

<file path=xl/ctrlProps/ctrlProp7.xml><?xml version="1.0" encoding="utf-8"?>
<formControlPr xmlns="http://schemas.microsoft.com/office/spreadsheetml/2009/9/main" objectType="CheckBox" checked="Checked" fmlaLink="$X$9" lockText="1"/>
</file>

<file path=xl/ctrlProps/ctrlProp8.xml><?xml version="1.0" encoding="utf-8"?>
<formControlPr xmlns="http://schemas.microsoft.com/office/spreadsheetml/2009/9/main" objectType="CheckBox" checked="Checked" fmlaLink="$X$6" lockText="1"/>
</file>

<file path=xl/ctrlProps/ctrlProp9.xml><?xml version="1.0" encoding="utf-8"?>
<formControlPr xmlns="http://schemas.microsoft.com/office/spreadsheetml/2009/9/main" objectType="CheckBox" checked="Checked" fmlaLink="$X$5" lockText="1"/>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85725</xdr:colOff>
      <xdr:row>1</xdr:row>
      <xdr:rowOff>171450</xdr:rowOff>
    </xdr:from>
    <xdr:to>
      <xdr:col>12</xdr:col>
      <xdr:colOff>361950</xdr:colOff>
      <xdr:row>37</xdr:row>
      <xdr:rowOff>47625</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85725" y="447675"/>
          <a:ext cx="9420225" cy="810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lang="de-DE" sz="1100" b="0" i="0" u="sng" strike="noStrike">
              <a:solidFill>
                <a:schemeClr val="dk1"/>
              </a:solidFill>
              <a:effectLst/>
              <a:latin typeface="TheSans UHH" panose="020B0502050302020203" pitchFamily="34" charset="0"/>
              <a:ea typeface="+mn-ea"/>
              <a:cs typeface="+mn-cs"/>
            </a:rPr>
            <a:t>Allgemeine Hinweise zur Verwendung</a:t>
          </a:r>
          <a:r>
            <a:rPr lang="de-DE" sz="1100">
              <a:latin typeface="TheSans UHH" panose="020B0502050302020203" pitchFamily="34" charset="0"/>
            </a:rPr>
            <a:t> </a:t>
          </a:r>
        </a:p>
        <a:p>
          <a:pPr>
            <a:lnSpc>
              <a:spcPct val="150000"/>
            </a:lnSpc>
          </a:pPr>
          <a:r>
            <a:rPr lang="de-DE" sz="1100" b="0" i="0" u="none" strike="noStrike">
              <a:solidFill>
                <a:schemeClr val="dk1"/>
              </a:solidFill>
              <a:effectLst/>
              <a:latin typeface="TheSans UHH" panose="020B0502050302020203" pitchFamily="34" charset="0"/>
              <a:ea typeface="+mn-ea"/>
              <a:cs typeface="+mn-cs"/>
            </a:rPr>
            <a:t>Dieses Tool ermöglicht Ihnen die Prognose der zu erwartenden </a:t>
          </a:r>
          <a:r>
            <a:rPr lang="de-DE" sz="1100" b="1" i="0" u="none" strike="noStrike">
              <a:solidFill>
                <a:schemeClr val="dk1"/>
              </a:solidFill>
              <a:effectLst/>
              <a:latin typeface="TheSans UHH" panose="020B0502050302020203" pitchFamily="34" charset="0"/>
              <a:ea typeface="+mn-ea"/>
              <a:cs typeface="+mn-cs"/>
            </a:rPr>
            <a:t>Personalkosten</a:t>
          </a:r>
          <a:r>
            <a:rPr lang="de-DE" sz="1100" b="0" i="0" u="none" strike="noStrike">
              <a:solidFill>
                <a:schemeClr val="dk1"/>
              </a:solidFill>
              <a:effectLst/>
              <a:latin typeface="TheSans UHH" panose="020B0502050302020203" pitchFamily="34" charset="0"/>
              <a:ea typeface="+mn-ea"/>
              <a:cs typeface="+mn-cs"/>
            </a:rPr>
            <a:t> für Ihren Drittmittelantrag. Bitte verwenden Sie die Kalkulation für </a:t>
          </a:r>
          <a:r>
            <a:rPr lang="de-DE" sz="1100" b="1" i="0" u="none" strike="noStrike">
              <a:solidFill>
                <a:schemeClr val="dk1"/>
              </a:solidFill>
              <a:effectLst/>
              <a:latin typeface="TheSans UHH" panose="020B0502050302020203" pitchFamily="34" charset="0"/>
              <a:ea typeface="+mn-ea"/>
              <a:cs typeface="+mn-cs"/>
            </a:rPr>
            <a:t>NN-Personal</a:t>
          </a:r>
          <a:r>
            <a:rPr lang="de-DE" sz="1100" b="0" i="0" u="none" strike="noStrike">
              <a:solidFill>
                <a:schemeClr val="dk1"/>
              </a:solidFill>
              <a:effectLst/>
              <a:latin typeface="TheSans UHH" panose="020B0502050302020203" pitchFamily="34" charset="0"/>
              <a:ea typeface="+mn-ea"/>
              <a:cs typeface="+mn-cs"/>
            </a:rPr>
            <a:t> und/oder nicht bereits an der Universität Hamburg beschäftigte Mitarbeiter*innen.</a:t>
          </a:r>
          <a:r>
            <a:rPr lang="de-DE" sz="1100">
              <a:latin typeface="TheSans UHH" panose="020B0502050302020203" pitchFamily="34" charset="0"/>
            </a:rPr>
            <a:t> </a:t>
          </a:r>
          <a:r>
            <a:rPr lang="de-DE" sz="1100" b="0" i="0" u="none" strike="noStrike">
              <a:solidFill>
                <a:schemeClr val="dk1"/>
              </a:solidFill>
              <a:effectLst/>
              <a:latin typeface="TheSans UHH" panose="020B0502050302020203" pitchFamily="34" charset="0"/>
              <a:ea typeface="+mn-ea"/>
              <a:cs typeface="+mn-cs"/>
            </a:rPr>
            <a:t>Wenn Sie planen, bereits an der UHH beschäftigtes Personal in Ihrem Projekt einzusetzen, wenden Sie sich für eine genauere Hochrechnung der Personalkosten bitte an das </a:t>
          </a:r>
          <a:r>
            <a:rPr lang="de-DE" sz="1100" b="1" i="0" u="none" strike="noStrike">
              <a:solidFill>
                <a:schemeClr val="dk1"/>
              </a:solidFill>
              <a:effectLst/>
              <a:latin typeface="TheSans UHH" panose="020B0502050302020203" pitchFamily="34" charset="0"/>
              <a:ea typeface="+mn-ea"/>
              <a:cs typeface="+mn-cs"/>
            </a:rPr>
            <a:t>Referat 75 (Mittelgeber DFG, EU, BUND, DAAD, FHH) / Referat 74 Team 745</a:t>
          </a:r>
          <a:r>
            <a:rPr lang="de-DE" sz="1100" b="1" i="0" u="none" strike="noStrike" baseline="0">
              <a:solidFill>
                <a:schemeClr val="dk1"/>
              </a:solidFill>
              <a:effectLst/>
              <a:latin typeface="TheSans UHH" panose="020B0502050302020203" pitchFamily="34" charset="0"/>
              <a:ea typeface="+mn-ea"/>
              <a:cs typeface="+mn-cs"/>
            </a:rPr>
            <a:t> (Wirtschaftliche und Stiftungsprojekte</a:t>
          </a:r>
          <a:r>
            <a:rPr lang="de-DE" sz="1100" b="1" i="0" u="none" strike="noStrike">
              <a:solidFill>
                <a:schemeClr val="dk1"/>
              </a:solidFill>
              <a:effectLst/>
              <a:latin typeface="TheSans UHH" panose="020B0502050302020203" pitchFamily="34" charset="0"/>
              <a:ea typeface="+mn-ea"/>
              <a:cs typeface="+mn-cs"/>
            </a:rPr>
            <a:t>).</a:t>
          </a:r>
          <a:r>
            <a:rPr lang="de-DE" sz="1100">
              <a:latin typeface="TheSans UHH" panose="020B0502050302020203" pitchFamily="34" charset="0"/>
            </a:rPr>
            <a:t> </a:t>
          </a:r>
          <a:r>
            <a:rPr lang="de-DE" sz="1100" b="0" i="0" u="none" strike="noStrike">
              <a:solidFill>
                <a:schemeClr val="dk1"/>
              </a:solidFill>
              <a:effectLst/>
              <a:latin typeface="TheSans UHH" panose="020B0502050302020203" pitchFamily="34" charset="0"/>
              <a:ea typeface="+mn-ea"/>
              <a:cs typeface="+mn-cs"/>
            </a:rPr>
            <a:t>Achten Sie bitte darauf, stets die </a:t>
          </a:r>
          <a:r>
            <a:rPr lang="de-DE" sz="1100" b="1" i="0" u="none" strike="noStrike">
              <a:solidFill>
                <a:schemeClr val="dk1"/>
              </a:solidFill>
              <a:effectLst/>
              <a:latin typeface="TheSans UHH" panose="020B0502050302020203" pitchFamily="34" charset="0"/>
              <a:ea typeface="+mn-ea"/>
              <a:cs typeface="+mn-cs"/>
            </a:rPr>
            <a:t>aktuellste Version</a:t>
          </a:r>
          <a:r>
            <a:rPr lang="de-DE" sz="1100" b="0" i="0" u="none" strike="noStrike">
              <a:solidFill>
                <a:schemeClr val="dk1"/>
              </a:solidFill>
              <a:effectLst/>
              <a:latin typeface="TheSans UHH" panose="020B0502050302020203" pitchFamily="34" charset="0"/>
              <a:ea typeface="+mn-ea"/>
              <a:cs typeface="+mn-cs"/>
            </a:rPr>
            <a:t> dieses Tools zu verwenden, da wir bestrebt sind, Änderungen (bspw. tarifvertraglich bedingt) regelmäßig einzupflegen. </a:t>
          </a:r>
          <a:r>
            <a:rPr lang="de-DE" sz="1100">
              <a:latin typeface="TheSans UHH" panose="020B0502050302020203" pitchFamily="34" charset="0"/>
            </a:rPr>
            <a:t> </a:t>
          </a:r>
          <a:r>
            <a:rPr lang="de-DE" sz="1100" b="0" i="0" u="none" strike="noStrike">
              <a:solidFill>
                <a:schemeClr val="dk1"/>
              </a:solidFill>
              <a:effectLst/>
              <a:latin typeface="TheSans UHH" panose="020B0502050302020203" pitchFamily="34" charset="0"/>
              <a:ea typeface="+mn-ea"/>
              <a:cs typeface="+mn-cs"/>
            </a:rPr>
            <a:t>Selbstverständlich steht Ihnen das </a:t>
          </a:r>
          <a:r>
            <a:rPr lang="de-DE" sz="1100" b="1" i="0" u="none" strike="noStrike">
              <a:solidFill>
                <a:schemeClr val="dk1"/>
              </a:solidFill>
              <a:effectLst/>
              <a:latin typeface="TheSans UHH" panose="020B0502050302020203" pitchFamily="34" charset="0"/>
              <a:ea typeface="+mn-ea"/>
              <a:cs typeface="+mn-cs"/>
            </a:rPr>
            <a:t>Referat 75 (Mittelgeber DFG, EU, BUND, DAAD, FHH) / Referat 74 Team 745 </a:t>
          </a:r>
          <a:r>
            <a:rPr lang="de-DE" sz="1100" b="1" i="0" baseline="0">
              <a:solidFill>
                <a:schemeClr val="dk1"/>
              </a:solidFill>
              <a:effectLst/>
              <a:latin typeface="TheSans UHH" panose="020B0502050302020203" pitchFamily="34" charset="0"/>
              <a:ea typeface="+mn-ea"/>
              <a:cs typeface="+mn-cs"/>
            </a:rPr>
            <a:t>(Wirtschaftliche und Stiftungsprojekte</a:t>
          </a:r>
          <a:r>
            <a:rPr lang="de-DE" sz="1100" b="1" i="0">
              <a:solidFill>
                <a:schemeClr val="dk1"/>
              </a:solidFill>
              <a:effectLst/>
              <a:latin typeface="TheSans UHH" panose="020B0502050302020203" pitchFamily="34" charset="0"/>
              <a:ea typeface="+mn-ea"/>
              <a:cs typeface="+mn-cs"/>
            </a:rPr>
            <a:t>)</a:t>
          </a:r>
          <a:r>
            <a:rPr lang="de-DE" sz="1100">
              <a:solidFill>
                <a:schemeClr val="dk1"/>
              </a:solidFill>
              <a:effectLst/>
              <a:latin typeface="TheSans UHH" panose="020B0502050302020203" pitchFamily="34" charset="0"/>
              <a:ea typeface="+mn-ea"/>
              <a:cs typeface="+mn-cs"/>
            </a:rPr>
            <a:t> </a:t>
          </a:r>
          <a:r>
            <a:rPr lang="de-DE" sz="1100" b="0" i="0" u="none" strike="noStrike">
              <a:solidFill>
                <a:schemeClr val="dk1"/>
              </a:solidFill>
              <a:effectLst/>
              <a:latin typeface="TheSans UHH" panose="020B0502050302020203" pitchFamily="34" charset="0"/>
              <a:ea typeface="+mn-ea"/>
              <a:cs typeface="+mn-cs"/>
            </a:rPr>
            <a:t>jederzeit für </a:t>
          </a:r>
          <a:r>
            <a:rPr lang="de-DE" sz="1100" b="1" i="0" u="none" strike="noStrike">
              <a:solidFill>
                <a:schemeClr val="dk1"/>
              </a:solidFill>
              <a:effectLst/>
              <a:latin typeface="TheSans UHH" panose="020B0502050302020203" pitchFamily="34" charset="0"/>
              <a:ea typeface="+mn-ea"/>
              <a:cs typeface="+mn-cs"/>
            </a:rPr>
            <a:t>Fragen</a:t>
          </a:r>
          <a:r>
            <a:rPr lang="de-DE" sz="1100" b="0" i="0" u="none" strike="noStrike">
              <a:solidFill>
                <a:schemeClr val="dk1"/>
              </a:solidFill>
              <a:effectLst/>
              <a:latin typeface="TheSans UHH" panose="020B0502050302020203" pitchFamily="34" charset="0"/>
              <a:ea typeface="+mn-ea"/>
              <a:cs typeface="+mn-cs"/>
            </a:rPr>
            <a:t> rund um Ihre Personalkostenkalkulation zur Verfügung.</a:t>
          </a:r>
          <a:r>
            <a:rPr lang="de-DE" sz="1100">
              <a:latin typeface="TheSans UHH" panose="020B0502050302020203" pitchFamily="34" charset="0"/>
            </a:rPr>
            <a:t> </a:t>
          </a:r>
        </a:p>
        <a:p>
          <a:pPr>
            <a:lnSpc>
              <a:spcPct val="150000"/>
            </a:lnSpc>
          </a:pPr>
          <a:endParaRPr lang="de-DE" sz="1100" b="0" i="0" u="sng" strike="noStrike">
            <a:solidFill>
              <a:schemeClr val="dk1"/>
            </a:solidFill>
            <a:effectLst/>
            <a:latin typeface="TheSans UHH" panose="020B0502050302020203" pitchFamily="34" charset="0"/>
            <a:ea typeface="+mn-ea"/>
            <a:cs typeface="+mn-cs"/>
          </a:endParaRPr>
        </a:p>
        <a:p>
          <a:pPr>
            <a:lnSpc>
              <a:spcPct val="150000"/>
            </a:lnSpc>
          </a:pPr>
          <a:r>
            <a:rPr lang="de-DE" sz="1100" b="0" i="0" u="sng" strike="noStrike">
              <a:solidFill>
                <a:schemeClr val="dk1"/>
              </a:solidFill>
              <a:effectLst/>
              <a:latin typeface="TheSans UHH" panose="020B0502050302020203" pitchFamily="34" charset="0"/>
              <a:ea typeface="+mn-ea"/>
              <a:cs typeface="+mn-cs"/>
            </a:rPr>
            <a:t>Für welche Arten von Beschäftigten können Kostenhochrechnungen erstellt werden?</a:t>
          </a:r>
        </a:p>
        <a:p>
          <a:pPr>
            <a:lnSpc>
              <a:spcPct val="150000"/>
            </a:lnSpc>
          </a:pPr>
          <a:r>
            <a:rPr lang="de-DE" sz="1100" b="0" i="0" u="none" strike="noStrike">
              <a:solidFill>
                <a:schemeClr val="dk1"/>
              </a:solidFill>
              <a:effectLst/>
              <a:latin typeface="TheSans UHH" panose="020B0502050302020203" pitchFamily="34" charset="0"/>
              <a:ea typeface="+mn-ea"/>
              <a:cs typeface="+mn-cs"/>
            </a:rPr>
            <a:t>Grundsätzlich können Personalkosten für Tarifpersonal einerseits sowie Studentische Hilfskräfte, Wissenschaftliche Hilfskräfte und Tutor*innen andererseits berechnet werden.</a:t>
          </a:r>
          <a:r>
            <a:rPr lang="de-DE" sz="1100">
              <a:latin typeface="TheSans UHH" panose="020B0502050302020203" pitchFamily="34" charset="0"/>
            </a:rPr>
            <a:t> </a:t>
          </a:r>
          <a:r>
            <a:rPr lang="de-DE" sz="1100" b="0" i="0" u="none" strike="noStrike">
              <a:solidFill>
                <a:schemeClr val="dk1"/>
              </a:solidFill>
              <a:effectLst/>
              <a:latin typeface="TheSans UHH" panose="020B0502050302020203" pitchFamily="34" charset="0"/>
              <a:ea typeface="+mn-ea"/>
              <a:cs typeface="+mn-cs"/>
            </a:rPr>
            <a:t>Bitte verwenden Sie zur Eingabe der Beschäftigten- und Projektdaten die </a:t>
          </a:r>
          <a:r>
            <a:rPr lang="de-DE" sz="1100" b="1" i="0" u="none" strike="noStrike">
              <a:solidFill>
                <a:schemeClr val="dk1"/>
              </a:solidFill>
              <a:effectLst/>
              <a:latin typeface="TheSans UHH" panose="020B0502050302020203" pitchFamily="34" charset="0"/>
              <a:ea typeface="+mn-ea"/>
              <a:cs typeface="+mn-cs"/>
            </a:rPr>
            <a:t>grün hinterlegten Tabellenblätter</a:t>
          </a:r>
          <a:r>
            <a:rPr lang="de-DE" sz="1100" b="0" i="0" u="none" strike="noStrike">
              <a:solidFill>
                <a:schemeClr val="dk1"/>
              </a:solidFill>
              <a:effectLst/>
              <a:latin typeface="TheSans UHH" panose="020B0502050302020203" pitchFamily="34" charset="0"/>
              <a:ea typeface="+mn-ea"/>
              <a:cs typeface="+mn-cs"/>
            </a:rPr>
            <a:t>.</a:t>
          </a:r>
          <a:r>
            <a:rPr lang="de-DE" sz="1100">
              <a:latin typeface="TheSans UHH" panose="020B0502050302020203" pitchFamily="34" charset="0"/>
            </a:rPr>
            <a:t> </a:t>
          </a:r>
        </a:p>
        <a:p>
          <a:pPr>
            <a:lnSpc>
              <a:spcPct val="150000"/>
            </a:lnSpc>
          </a:pPr>
          <a:endParaRPr lang="de-DE" sz="1100" b="0" i="0" u="sng" strike="noStrike">
            <a:solidFill>
              <a:schemeClr val="dk1"/>
            </a:solidFill>
            <a:effectLst/>
            <a:latin typeface="TheSans UHH" panose="020B0502050302020203" pitchFamily="34" charset="0"/>
            <a:ea typeface="+mn-ea"/>
            <a:cs typeface="+mn-cs"/>
          </a:endParaRPr>
        </a:p>
        <a:p>
          <a:pPr>
            <a:lnSpc>
              <a:spcPct val="150000"/>
            </a:lnSpc>
          </a:pPr>
          <a:r>
            <a:rPr lang="de-DE" sz="1100" b="0" i="0" u="sng" strike="noStrike">
              <a:solidFill>
                <a:schemeClr val="dk1"/>
              </a:solidFill>
              <a:effectLst/>
              <a:latin typeface="TheSans UHH" panose="020B0502050302020203" pitchFamily="34" charset="0"/>
              <a:ea typeface="+mn-ea"/>
              <a:cs typeface="+mn-cs"/>
            </a:rPr>
            <a:t>Werden mittelgeberspezifische Besonderheiten berücksichtigt?</a:t>
          </a:r>
          <a:r>
            <a:rPr lang="de-DE" sz="1100">
              <a:latin typeface="TheSans UHH" panose="020B0502050302020203" pitchFamily="34" charset="0"/>
            </a:rPr>
            <a:t> </a:t>
          </a:r>
          <a:endParaRPr lang="de-DE" sz="1100" b="0" i="0" u="none" strike="noStrike">
            <a:solidFill>
              <a:schemeClr val="dk1"/>
            </a:solidFill>
            <a:effectLst/>
            <a:latin typeface="TheSans UHH" panose="020B0502050302020203" pitchFamily="34" charset="0"/>
            <a:ea typeface="+mn-ea"/>
            <a:cs typeface="+mn-cs"/>
          </a:endParaRPr>
        </a:p>
        <a:p>
          <a:pPr>
            <a:lnSpc>
              <a:spcPct val="150000"/>
            </a:lnSpc>
          </a:pPr>
          <a:r>
            <a:rPr lang="de-DE" sz="1100" b="0" i="0" u="none" strike="noStrike">
              <a:solidFill>
                <a:schemeClr val="dk1"/>
              </a:solidFill>
              <a:effectLst/>
              <a:latin typeface="TheSans UHH" panose="020B0502050302020203" pitchFamily="34" charset="0"/>
              <a:ea typeface="+mn-ea"/>
              <a:cs typeface="+mn-cs"/>
            </a:rPr>
            <a:t>Letztlich entscheidend für Ihre Zuwendung zur Deckung der projektspezifischen Personalkosten sind die </a:t>
          </a:r>
          <a:r>
            <a:rPr lang="de-DE" sz="1100" b="1" i="0" u="none" strike="noStrike">
              <a:solidFill>
                <a:schemeClr val="dk1"/>
              </a:solidFill>
              <a:effectLst/>
              <a:latin typeface="TheSans UHH" panose="020B0502050302020203" pitchFamily="34" charset="0"/>
              <a:ea typeface="+mn-ea"/>
              <a:cs typeface="+mn-cs"/>
            </a:rPr>
            <a:t>mittelgeberspezifischen Regeln</a:t>
          </a:r>
          <a:r>
            <a:rPr lang="de-DE" sz="1100" b="0" i="0" u="none" strike="noStrike">
              <a:solidFill>
                <a:schemeClr val="dk1"/>
              </a:solidFill>
              <a:effectLst/>
              <a:latin typeface="TheSans UHH" panose="020B0502050302020203" pitchFamily="34" charset="0"/>
              <a:ea typeface="+mn-ea"/>
              <a:cs typeface="+mn-cs"/>
            </a:rPr>
            <a:t>. </a:t>
          </a:r>
          <a:r>
            <a:rPr lang="de-DE" sz="1100">
              <a:latin typeface="TheSans UHH" panose="020B0502050302020203" pitchFamily="34" charset="0"/>
            </a:rPr>
            <a:t> </a:t>
          </a:r>
          <a:r>
            <a:rPr lang="de-DE" sz="1100" b="0" i="0" u="none" strike="noStrike">
              <a:solidFill>
                <a:schemeClr val="dk1"/>
              </a:solidFill>
              <a:effectLst/>
              <a:latin typeface="TheSans UHH" panose="020B0502050302020203" pitchFamily="34" charset="0"/>
              <a:ea typeface="+mn-ea"/>
              <a:cs typeface="+mn-cs"/>
            </a:rPr>
            <a:t>Das Tool berechnet grundsätzlich die</a:t>
          </a:r>
          <a:r>
            <a:rPr lang="de-DE" sz="1100" b="1" i="0" u="none" strike="noStrike">
              <a:solidFill>
                <a:schemeClr val="dk1"/>
              </a:solidFill>
              <a:effectLst/>
              <a:latin typeface="TheSans UHH" panose="020B0502050302020203" pitchFamily="34" charset="0"/>
              <a:ea typeface="+mn-ea"/>
              <a:cs typeface="+mn-cs"/>
            </a:rPr>
            <a:t> Arbeitgeber-Brutto-Kosten</a:t>
          </a:r>
          <a:r>
            <a:rPr lang="de-DE" sz="1100" b="0" i="0" u="none" strike="noStrike">
              <a:solidFill>
                <a:schemeClr val="dk1"/>
              </a:solidFill>
              <a:effectLst/>
              <a:latin typeface="TheSans UHH" panose="020B0502050302020203" pitchFamily="34" charset="0"/>
              <a:ea typeface="+mn-ea"/>
              <a:cs typeface="+mn-cs"/>
            </a:rPr>
            <a:t> für das eingegebene Personal. Dies entspricht oft, aber nicht immer derjenigen Zuwendung, die für die projektspezifischen Personalkosten beantragt werden darf.</a:t>
          </a:r>
          <a:r>
            <a:rPr lang="de-DE" sz="1100">
              <a:latin typeface="TheSans UHH" panose="020B0502050302020203" pitchFamily="34" charset="0"/>
            </a:rPr>
            <a:t> </a:t>
          </a:r>
          <a:r>
            <a:rPr lang="de-DE" sz="1100" b="0" i="0" u="none" strike="noStrike">
              <a:solidFill>
                <a:schemeClr val="dk1"/>
              </a:solidFill>
              <a:effectLst/>
              <a:latin typeface="TheSans UHH" panose="020B0502050302020203" pitchFamily="34" charset="0"/>
              <a:ea typeface="+mn-ea"/>
              <a:cs typeface="+mn-cs"/>
            </a:rPr>
            <a:t>Die DFG bspw. verwendet Personalkategorien-spezifische Pauschalsätze, für ZIM-Projekte gelten Arbeitnehmer-Brutto-Stundensätze. </a:t>
          </a:r>
          <a:r>
            <a:rPr lang="de-DE" sz="1100">
              <a:latin typeface="TheSans UHH" panose="020B0502050302020203" pitchFamily="34" charset="0"/>
            </a:rPr>
            <a:t> </a:t>
          </a:r>
          <a:r>
            <a:rPr lang="de-DE" sz="1100" b="0" i="0" u="none" strike="noStrike">
              <a:solidFill>
                <a:schemeClr val="dk1"/>
              </a:solidFill>
              <a:effectLst/>
              <a:latin typeface="TheSans UHH" panose="020B0502050302020203" pitchFamily="34" charset="0"/>
              <a:ea typeface="+mn-ea"/>
              <a:cs typeface="+mn-cs"/>
            </a:rPr>
            <a:t>Bitte wenden Sie sich an das</a:t>
          </a:r>
          <a:r>
            <a:rPr lang="de-DE" sz="1100" b="1" i="0" u="none" strike="noStrike">
              <a:solidFill>
                <a:schemeClr val="dk1"/>
              </a:solidFill>
              <a:effectLst/>
              <a:latin typeface="TheSans UHH" panose="020B0502050302020203" pitchFamily="34" charset="0"/>
              <a:ea typeface="+mn-ea"/>
              <a:cs typeface="+mn-cs"/>
            </a:rPr>
            <a:t> Referat 75 (Mittelgeber DFG, EU, BUND, DAAD, FHH) / Referat 74 Team 745 </a:t>
          </a:r>
          <a:r>
            <a:rPr lang="de-DE" sz="1100" b="1" i="0" baseline="0">
              <a:solidFill>
                <a:schemeClr val="dk1"/>
              </a:solidFill>
              <a:effectLst/>
              <a:latin typeface="TheSans UHH" panose="020B0502050302020203" pitchFamily="34" charset="0"/>
              <a:ea typeface="+mn-ea"/>
              <a:cs typeface="+mn-cs"/>
            </a:rPr>
            <a:t>(Wirtschaftliche und Stiftungsprojekte</a:t>
          </a:r>
          <a:r>
            <a:rPr lang="de-DE" sz="1100" b="1" i="0">
              <a:solidFill>
                <a:schemeClr val="dk1"/>
              </a:solidFill>
              <a:effectLst/>
              <a:latin typeface="TheSans UHH" panose="020B0502050302020203" pitchFamily="34" charset="0"/>
              <a:ea typeface="+mn-ea"/>
              <a:cs typeface="+mn-cs"/>
            </a:rPr>
            <a:t>)</a:t>
          </a:r>
          <a:r>
            <a:rPr lang="de-DE" sz="1100">
              <a:solidFill>
                <a:schemeClr val="dk1"/>
              </a:solidFill>
              <a:effectLst/>
              <a:latin typeface="TheSans UHH" panose="020B0502050302020203" pitchFamily="34" charset="0"/>
              <a:ea typeface="+mn-ea"/>
              <a:cs typeface="+mn-cs"/>
            </a:rPr>
            <a:t> </a:t>
          </a:r>
          <a:r>
            <a:rPr lang="de-DE" sz="1100" b="0" i="0" u="none" strike="noStrike">
              <a:solidFill>
                <a:schemeClr val="dk1"/>
              </a:solidFill>
              <a:effectLst/>
              <a:latin typeface="TheSans UHH" panose="020B0502050302020203" pitchFamily="34" charset="0"/>
              <a:ea typeface="+mn-ea"/>
              <a:cs typeface="+mn-cs"/>
            </a:rPr>
            <a:t>im Falle von </a:t>
          </a:r>
          <a:r>
            <a:rPr lang="de-DE" sz="1100" b="1" i="0" u="none" strike="noStrike">
              <a:solidFill>
                <a:schemeClr val="dk1"/>
              </a:solidFill>
              <a:effectLst/>
              <a:latin typeface="TheSans UHH" panose="020B0502050302020203" pitchFamily="34" charset="0"/>
              <a:ea typeface="+mn-ea"/>
              <a:cs typeface="+mn-cs"/>
            </a:rPr>
            <a:t>abweichenden Personalkostenberechnungen</a:t>
          </a:r>
          <a:r>
            <a:rPr lang="de-DE" sz="1100" b="0" i="0" u="none" strike="noStrike">
              <a:solidFill>
                <a:schemeClr val="dk1"/>
              </a:solidFill>
              <a:effectLst/>
              <a:latin typeface="TheSans UHH" panose="020B0502050302020203" pitchFamily="34" charset="0"/>
              <a:ea typeface="+mn-ea"/>
              <a:cs typeface="+mn-cs"/>
            </a:rPr>
            <a:t>.</a:t>
          </a:r>
          <a:r>
            <a:rPr lang="de-DE" sz="1100">
              <a:latin typeface="TheSans UHH" panose="020B0502050302020203" pitchFamily="34" charset="0"/>
            </a:rPr>
            <a:t> </a:t>
          </a:r>
        </a:p>
        <a:p>
          <a:pPr>
            <a:lnSpc>
              <a:spcPct val="150000"/>
            </a:lnSpc>
          </a:pPr>
          <a:endParaRPr lang="de-DE" sz="1100">
            <a:latin typeface="TheSans UHH" panose="020B0502050302020203" pitchFamily="34" charset="0"/>
          </a:endParaRPr>
        </a:p>
        <a:p>
          <a:pPr marL="0" marR="0" lvl="0" indent="0" defTabSz="914400" eaLnBrk="1" fontAlgn="auto" latinLnBrk="0" hangingPunct="1">
            <a:lnSpc>
              <a:spcPct val="150000"/>
            </a:lnSpc>
            <a:spcBef>
              <a:spcPts val="0"/>
            </a:spcBef>
            <a:spcAft>
              <a:spcPts val="0"/>
            </a:spcAft>
            <a:buClrTx/>
            <a:buSzTx/>
            <a:buFontTx/>
            <a:buNone/>
            <a:tabLst/>
            <a:defRPr/>
          </a:pPr>
          <a:r>
            <a:rPr lang="de-DE" sz="1100" b="0" i="0" u="none" strike="noStrike">
              <a:solidFill>
                <a:schemeClr val="dk1"/>
              </a:solidFill>
              <a:effectLst/>
              <a:latin typeface="TheSans UHH" panose="020B0502050302020203" pitchFamily="34" charset="0"/>
              <a:ea typeface="+mn-ea"/>
              <a:cs typeface="+mn-cs"/>
            </a:rPr>
            <a:t>Für Projekte, die von </a:t>
          </a:r>
          <a:r>
            <a:rPr lang="de-DE" sz="1100" b="1" i="0" u="none" strike="noStrike">
              <a:solidFill>
                <a:schemeClr val="dk1"/>
              </a:solidFill>
              <a:effectLst/>
              <a:latin typeface="TheSans UHH" panose="020B0502050302020203" pitchFamily="34" charset="0"/>
              <a:ea typeface="+mn-ea"/>
              <a:cs typeface="+mn-cs"/>
            </a:rPr>
            <a:t>Bundesministerien</a:t>
          </a:r>
          <a:r>
            <a:rPr lang="de-DE" sz="1100" b="0" i="0" u="none" strike="noStrike">
              <a:solidFill>
                <a:schemeClr val="dk1"/>
              </a:solidFill>
              <a:effectLst/>
              <a:latin typeface="TheSans UHH" panose="020B0502050302020203" pitchFamily="34" charset="0"/>
              <a:ea typeface="+mn-ea"/>
              <a:cs typeface="+mn-cs"/>
            </a:rPr>
            <a:t> gefördert werden (z. B. BMFTR) gilt: </a:t>
          </a:r>
          <a:r>
            <a:rPr lang="de-DE" sz="1100">
              <a:latin typeface="TheSans UHH" panose="020B0502050302020203" pitchFamily="34" charset="0"/>
            </a:rPr>
            <a:t> </a:t>
          </a:r>
          <a:r>
            <a:rPr lang="de-DE" sz="1100" b="0" i="0" u="none" strike="noStrike">
              <a:solidFill>
                <a:schemeClr val="dk1"/>
              </a:solidFill>
              <a:effectLst/>
              <a:latin typeface="TheSans UHH" panose="020B0502050302020203" pitchFamily="34" charset="0"/>
              <a:ea typeface="+mn-ea"/>
              <a:cs typeface="+mn-cs"/>
            </a:rPr>
            <a:t>Die </a:t>
          </a:r>
          <a:r>
            <a:rPr lang="de-DE" sz="1100" b="1" i="0" u="none" strike="noStrike">
              <a:solidFill>
                <a:schemeClr val="dk1"/>
              </a:solidFill>
              <a:effectLst/>
              <a:latin typeface="TheSans UHH" panose="020B0502050302020203" pitchFamily="34" charset="0"/>
              <a:ea typeface="+mn-ea"/>
              <a:cs typeface="+mn-cs"/>
            </a:rPr>
            <a:t>Eingaben </a:t>
          </a:r>
          <a:r>
            <a:rPr lang="de-DE" sz="1100" b="0" i="0" u="none" strike="noStrike">
              <a:solidFill>
                <a:schemeClr val="dk1"/>
              </a:solidFill>
              <a:effectLst/>
              <a:latin typeface="TheSans UHH" panose="020B0502050302020203" pitchFamily="34" charset="0"/>
              <a:ea typeface="+mn-ea"/>
              <a:cs typeface="+mn-cs"/>
            </a:rPr>
            <a:t>für das Tarifpersonal nehmen Sie wie beschrieben im </a:t>
          </a:r>
          <a:r>
            <a:rPr lang="de-DE" sz="1100" b="1" i="0">
              <a:solidFill>
                <a:schemeClr val="dk1"/>
              </a:solidFill>
              <a:effectLst/>
              <a:latin typeface="TheSans UHH" panose="020B0502050302020203" pitchFamily="34" charset="0"/>
              <a:ea typeface="+mn-ea"/>
              <a:cs typeface="+mn-cs"/>
            </a:rPr>
            <a:t>grün hinterlegten Tabellenblatt</a:t>
          </a:r>
          <a:r>
            <a:rPr lang="de-DE" sz="1100" b="0" i="0" u="none" strike="noStrike">
              <a:solidFill>
                <a:schemeClr val="dk1"/>
              </a:solidFill>
              <a:effectLst/>
              <a:latin typeface="TheSans UHH" panose="020B0502050302020203" pitchFamily="34" charset="0"/>
              <a:ea typeface="+mn-ea"/>
              <a:cs typeface="+mn-cs"/>
            </a:rPr>
            <a:t> vor.</a:t>
          </a:r>
          <a:r>
            <a:rPr lang="de-DE" sz="1100" b="0" i="0" u="none" strike="noStrike" baseline="0">
              <a:solidFill>
                <a:schemeClr val="dk1"/>
              </a:solidFill>
              <a:effectLst/>
              <a:latin typeface="TheSans UHH" panose="020B0502050302020203" pitchFamily="34" charset="0"/>
              <a:ea typeface="+mn-ea"/>
              <a:cs typeface="+mn-cs"/>
            </a:rPr>
            <a:t> </a:t>
          </a:r>
          <a:r>
            <a:rPr lang="de-DE" sz="1100" b="0" i="0" u="none" strike="noStrike">
              <a:solidFill>
                <a:schemeClr val="dk1"/>
              </a:solidFill>
              <a:effectLst/>
              <a:latin typeface="TheSans UHH" panose="020B0502050302020203" pitchFamily="34" charset="0"/>
              <a:ea typeface="+mn-ea"/>
              <a:cs typeface="+mn-cs"/>
            </a:rPr>
            <a:t>Die </a:t>
          </a:r>
          <a:r>
            <a:rPr lang="de-DE" sz="1100" b="1" i="0" u="none" strike="noStrike">
              <a:solidFill>
                <a:schemeClr val="dk1"/>
              </a:solidFill>
              <a:effectLst/>
              <a:latin typeface="TheSans UHH" panose="020B0502050302020203" pitchFamily="34" charset="0"/>
              <a:ea typeface="+mn-ea"/>
              <a:cs typeface="+mn-cs"/>
            </a:rPr>
            <a:t>Ergebnisse</a:t>
          </a:r>
          <a:r>
            <a:rPr lang="de-DE" sz="1100" b="0" i="0" u="none" strike="noStrike">
              <a:solidFill>
                <a:schemeClr val="dk1"/>
              </a:solidFill>
              <a:effectLst/>
              <a:latin typeface="TheSans UHH" panose="020B0502050302020203" pitchFamily="34" charset="0"/>
              <a:ea typeface="+mn-ea"/>
              <a:cs typeface="+mn-cs"/>
            </a:rPr>
            <a:t>, also die zu beantragenden Personalkosten, werden Ihnen im Tabellenblatt </a:t>
          </a:r>
          <a:r>
            <a:rPr lang="de-DE" sz="1100" b="1" i="0" u="none" strike="noStrike">
              <a:solidFill>
                <a:schemeClr val="dk1"/>
              </a:solidFill>
              <a:effectLst/>
              <a:latin typeface="TheSans UHH" panose="020B0502050302020203" pitchFamily="34" charset="0"/>
              <a:ea typeface="+mn-ea"/>
              <a:cs typeface="+mn-cs"/>
            </a:rPr>
            <a:t>"PKHR_für_AZA(P)"</a:t>
          </a:r>
          <a:r>
            <a:rPr lang="de-DE" sz="1100" b="0" i="0" u="none" strike="noStrike">
              <a:solidFill>
                <a:schemeClr val="dk1"/>
              </a:solidFill>
              <a:effectLst/>
              <a:latin typeface="TheSans UHH" panose="020B0502050302020203" pitchFamily="34" charset="0"/>
              <a:ea typeface="+mn-ea"/>
              <a:cs typeface="+mn-cs"/>
            </a:rPr>
            <a:t> angezeigt.</a:t>
          </a:r>
          <a:r>
            <a:rPr lang="de-DE" sz="1100">
              <a:latin typeface="TheSans UHH" panose="020B0502050302020203" pitchFamily="34" charset="0"/>
            </a:rPr>
            <a:t> </a:t>
          </a:r>
          <a:r>
            <a:rPr lang="de-DE" sz="1100" b="0" i="0" u="none" strike="noStrike">
              <a:solidFill>
                <a:schemeClr val="dk1"/>
              </a:solidFill>
              <a:effectLst/>
              <a:latin typeface="TheSans UHH" panose="020B0502050302020203" pitchFamily="34" charset="0"/>
              <a:ea typeface="+mn-ea"/>
              <a:cs typeface="+mn-cs"/>
            </a:rPr>
            <a:t>Für Bund-Projekte dürfen in der Regel bspw. keine kalkulatorischen Tariferhöhungen (also voraussichtliche, der Höhe nach noch nicht feststehende Tarifabschlüsse in der Zukunft) berücksichtigt werden. </a:t>
          </a:r>
          <a:r>
            <a:rPr lang="de-DE" sz="1100">
              <a:latin typeface="TheSans UHH" panose="020B0502050302020203" pitchFamily="34" charset="0"/>
            </a:rPr>
            <a:t> </a:t>
          </a:r>
          <a:r>
            <a:rPr lang="de-DE" sz="1100" b="0" i="0" u="none" strike="noStrike">
              <a:solidFill>
                <a:schemeClr val="dk1"/>
              </a:solidFill>
              <a:effectLst/>
              <a:latin typeface="TheSans UHH" panose="020B0502050302020203" pitchFamily="34" charset="0"/>
              <a:ea typeface="+mn-ea"/>
              <a:cs typeface="+mn-cs"/>
            </a:rPr>
            <a:t>Wenn Sie also den entsprechenden Haken im blauen Eingabeblatt  nicht</a:t>
          </a:r>
          <a:r>
            <a:rPr lang="de-DE" sz="1100" b="0" i="0" u="none" strike="noStrike" baseline="0">
              <a:solidFill>
                <a:schemeClr val="dk1"/>
              </a:solidFill>
              <a:effectLst/>
              <a:latin typeface="TheSans UHH" panose="020B0502050302020203" pitchFamily="34" charset="0"/>
              <a:ea typeface="+mn-ea"/>
              <a:cs typeface="+mn-cs"/>
            </a:rPr>
            <a:t> </a:t>
          </a:r>
          <a:r>
            <a:rPr lang="de-DE" sz="1100" b="0" i="0" u="none" strike="noStrike">
              <a:solidFill>
                <a:schemeClr val="dk1"/>
              </a:solidFill>
              <a:effectLst/>
              <a:latin typeface="TheSans UHH" panose="020B0502050302020203" pitchFamily="34" charset="0"/>
              <a:ea typeface="+mn-ea"/>
              <a:cs typeface="+mn-cs"/>
            </a:rPr>
            <a:t>setzen (anklicken), wird dieses in die Berechnung nicht übernommen. Sie können dann die Diskrepanz zwischen beantragten und voraussichtlich entstehenden Personalkosten erkennen.</a:t>
          </a:r>
          <a:r>
            <a:rPr lang="de-DE" sz="1100">
              <a:latin typeface="TheSans UHH" panose="020B0502050302020203" pitchFamily="34" charset="0"/>
            </a:rPr>
            <a:t> </a:t>
          </a:r>
          <a:r>
            <a:rPr lang="de-DE" sz="1100" b="0" i="0" u="none" strike="noStrike">
              <a:solidFill>
                <a:schemeClr val="dk1"/>
              </a:solidFill>
              <a:effectLst/>
              <a:latin typeface="TheSans UHH" panose="020B0502050302020203" pitchFamily="34" charset="0"/>
              <a:ea typeface="+mn-ea"/>
              <a:cs typeface="+mn-cs"/>
            </a:rPr>
            <a:t>Zudem berücksichtigt das AZA-Ergebnisblatt weitere mittelgeberspezifische Besonderheiten (z. B. zur Umlage der Jahressonderzahlung auf die Monate) und zeigt die Kostenkomponenten so an, wie sie im AZA-Formular abgefragt werden.</a:t>
          </a:r>
          <a:r>
            <a:rPr lang="de-DE" sz="1100">
              <a:latin typeface="TheSans UHH" panose="020B0502050302020203" pitchFamily="34" charset="0"/>
            </a:rPr>
            <a:t>  Dadruch</a:t>
          </a:r>
          <a:r>
            <a:rPr lang="de-DE" sz="1100" baseline="0">
              <a:latin typeface="TheSans UHH" panose="020B0502050302020203" pitchFamily="34" charset="0"/>
            </a:rPr>
            <a:t> können leichte Rundungsdifferenzen entsehen, daher kann die Summe im Tabellenblatt PKHR_für_AZA(P) leicht von der Summe im Tabellenblatt PKHR_für_Tarifpersonal abweichen. </a:t>
          </a:r>
          <a:endParaRPr lang="de-DE" sz="1100">
            <a:latin typeface="TheSans UHH" panose="020B0502050302020203"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49</xdr:col>
      <xdr:colOff>431538</xdr:colOff>
      <xdr:row>64</xdr:row>
      <xdr:rowOff>169769</xdr:rowOff>
    </xdr:from>
    <xdr:to>
      <xdr:col>55</xdr:col>
      <xdr:colOff>3274</xdr:colOff>
      <xdr:row>71</xdr:row>
      <xdr:rowOff>61342</xdr:rowOff>
    </xdr:to>
    <xdr:pic>
      <xdr:nvPicPr>
        <xdr:cNvPr id="2" name="Grafik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47798803" y="13415122"/>
          <a:ext cx="4271035" cy="179444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165653</xdr:colOff>
      <xdr:row>18</xdr:row>
      <xdr:rowOff>190500</xdr:rowOff>
    </xdr:from>
    <xdr:to>
      <xdr:col>3</xdr:col>
      <xdr:colOff>455544</xdr:colOff>
      <xdr:row>28</xdr:row>
      <xdr:rowOff>0</xdr:rowOff>
    </xdr:to>
    <xdr:sp macro="" textlink="">
      <xdr:nvSpPr>
        <xdr:cNvPr id="4" name="Pfeil: nach unten 3">
          <a:extLst>
            <a:ext uri="{FF2B5EF4-FFF2-40B4-BE49-F238E27FC236}">
              <a16:creationId xmlns:a16="http://schemas.microsoft.com/office/drawing/2014/main" id="{00000000-0008-0000-0D00-000004000000}"/>
            </a:ext>
          </a:extLst>
        </xdr:cNvPr>
        <xdr:cNvSpPr/>
      </xdr:nvSpPr>
      <xdr:spPr>
        <a:xfrm>
          <a:off x="4050196" y="4240696"/>
          <a:ext cx="289891" cy="1830456"/>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de-DE"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25</xdr:row>
      <xdr:rowOff>137160</xdr:rowOff>
    </xdr:from>
    <xdr:to>
      <xdr:col>6</xdr:col>
      <xdr:colOff>324290</xdr:colOff>
      <xdr:row>40</xdr:row>
      <xdr:rowOff>95484</xdr:rowOff>
    </xdr:to>
    <xdr:pic>
      <xdr:nvPicPr>
        <xdr:cNvPr id="2" name="Grafik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5113020"/>
          <a:ext cx="5029640" cy="2705334"/>
        </a:xfrm>
        <a:prstGeom prst="rect">
          <a:avLst/>
        </a:prstGeom>
      </xdr:spPr>
    </xdr:pic>
    <xdr:clientData/>
  </xdr:twoCellAnchor>
  <xdr:twoCellAnchor editAs="oneCell">
    <xdr:from>
      <xdr:col>0</xdr:col>
      <xdr:colOff>15240</xdr:colOff>
      <xdr:row>3</xdr:row>
      <xdr:rowOff>15240</xdr:rowOff>
    </xdr:from>
    <xdr:to>
      <xdr:col>5</xdr:col>
      <xdr:colOff>381000</xdr:colOff>
      <xdr:row>20</xdr:row>
      <xdr:rowOff>144212</xdr:rowOff>
    </xdr:to>
    <xdr:pic>
      <xdr:nvPicPr>
        <xdr:cNvPr id="8" name="Grafik 7">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2"/>
        <a:stretch>
          <a:fillRect/>
        </a:stretch>
      </xdr:blipFill>
      <xdr:spPr>
        <a:xfrm>
          <a:off x="15240" y="670560"/>
          <a:ext cx="4290060" cy="3239837"/>
        </a:xfrm>
        <a:prstGeom prst="rect">
          <a:avLst/>
        </a:prstGeom>
      </xdr:spPr>
    </xdr:pic>
    <xdr:clientData/>
  </xdr:twoCellAnchor>
  <xdr:twoCellAnchor editAs="oneCell">
    <xdr:from>
      <xdr:col>0</xdr:col>
      <xdr:colOff>0</xdr:colOff>
      <xdr:row>46</xdr:row>
      <xdr:rowOff>144779</xdr:rowOff>
    </xdr:from>
    <xdr:to>
      <xdr:col>5</xdr:col>
      <xdr:colOff>627754</xdr:colOff>
      <xdr:row>82</xdr:row>
      <xdr:rowOff>19050</xdr:rowOff>
    </xdr:to>
    <xdr:pic>
      <xdr:nvPicPr>
        <xdr:cNvPr id="9" name="Grafik 8">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3"/>
        <a:stretch>
          <a:fillRect/>
        </a:stretch>
      </xdr:blipFill>
      <xdr:spPr>
        <a:xfrm>
          <a:off x="0" y="8961119"/>
          <a:ext cx="4555864" cy="6454141"/>
        </a:xfrm>
        <a:prstGeom prst="rect">
          <a:avLst/>
        </a:prstGeom>
      </xdr:spPr>
    </xdr:pic>
    <xdr:clientData/>
  </xdr:twoCellAnchor>
  <xdr:twoCellAnchor editAs="oneCell">
    <xdr:from>
      <xdr:col>0</xdr:col>
      <xdr:colOff>0</xdr:colOff>
      <xdr:row>83</xdr:row>
      <xdr:rowOff>38100</xdr:rowOff>
    </xdr:from>
    <xdr:to>
      <xdr:col>5</xdr:col>
      <xdr:colOff>419100</xdr:colOff>
      <xdr:row>115</xdr:row>
      <xdr:rowOff>175113</xdr:rowOff>
    </xdr:to>
    <xdr:pic>
      <xdr:nvPicPr>
        <xdr:cNvPr id="12" name="Grafik 11">
          <a:extLst>
            <a:ext uri="{FF2B5EF4-FFF2-40B4-BE49-F238E27FC236}">
              <a16:creationId xmlns:a16="http://schemas.microsoft.com/office/drawing/2014/main" id="{00000000-0008-0000-0E00-00000C000000}"/>
            </a:ext>
          </a:extLst>
        </xdr:cNvPr>
        <xdr:cNvPicPr>
          <a:picLocks noChangeAspect="1"/>
        </xdr:cNvPicPr>
      </xdr:nvPicPr>
      <xdr:blipFill>
        <a:blip xmlns:r="http://schemas.openxmlformats.org/officeDocument/2006/relationships" r:embed="rId4"/>
        <a:stretch>
          <a:fillRect/>
        </a:stretch>
      </xdr:blipFill>
      <xdr:spPr>
        <a:xfrm>
          <a:off x="0" y="15621000"/>
          <a:ext cx="4343400" cy="5992983"/>
        </a:xfrm>
        <a:prstGeom prst="rect">
          <a:avLst/>
        </a:prstGeom>
      </xdr:spPr>
    </xdr:pic>
    <xdr:clientData/>
  </xdr:twoCellAnchor>
  <xdr:twoCellAnchor editAs="oneCell">
    <xdr:from>
      <xdr:col>9</xdr:col>
      <xdr:colOff>31991</xdr:colOff>
      <xdr:row>110</xdr:row>
      <xdr:rowOff>63259</xdr:rowOff>
    </xdr:from>
    <xdr:to>
      <xdr:col>10</xdr:col>
      <xdr:colOff>447678</xdr:colOff>
      <xdr:row>115</xdr:row>
      <xdr:rowOff>84296</xdr:rowOff>
    </xdr:to>
    <xdr:pic>
      <xdr:nvPicPr>
        <xdr:cNvPr id="13" name="Grafik 12">
          <a:extLst>
            <a:ext uri="{FF2B5EF4-FFF2-40B4-BE49-F238E27FC236}">
              <a16:creationId xmlns:a16="http://schemas.microsoft.com/office/drawing/2014/main" id="{00000000-0008-0000-0E00-00000D000000}"/>
            </a:ext>
          </a:extLst>
        </xdr:cNvPr>
        <xdr:cNvPicPr>
          <a:picLocks noChangeAspect="1"/>
        </xdr:cNvPicPr>
      </xdr:nvPicPr>
      <xdr:blipFill>
        <a:blip xmlns:r="http://schemas.openxmlformats.org/officeDocument/2006/relationships" r:embed="rId5"/>
        <a:stretch>
          <a:fillRect/>
        </a:stretch>
      </xdr:blipFill>
      <xdr:spPr>
        <a:xfrm>
          <a:off x="7067353" y="20400776"/>
          <a:ext cx="4580411" cy="940692"/>
        </a:xfrm>
        <a:prstGeom prst="rect">
          <a:avLst/>
        </a:prstGeom>
      </xdr:spPr>
    </xdr:pic>
    <xdr:clientData/>
  </xdr:twoCellAnchor>
  <xdr:twoCellAnchor editAs="oneCell">
    <xdr:from>
      <xdr:col>0</xdr:col>
      <xdr:colOff>0</xdr:colOff>
      <xdr:row>119</xdr:row>
      <xdr:rowOff>190500</xdr:rowOff>
    </xdr:from>
    <xdr:to>
      <xdr:col>5</xdr:col>
      <xdr:colOff>728631</xdr:colOff>
      <xdr:row>122</xdr:row>
      <xdr:rowOff>124811</xdr:rowOff>
    </xdr:to>
    <xdr:pic>
      <xdr:nvPicPr>
        <xdr:cNvPr id="4" name="Grafik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6"/>
        <a:stretch>
          <a:fillRect/>
        </a:stretch>
      </xdr:blipFill>
      <xdr:spPr>
        <a:xfrm>
          <a:off x="0" y="22958534"/>
          <a:ext cx="4538631" cy="505811"/>
        </a:xfrm>
        <a:prstGeom prst="rect">
          <a:avLst/>
        </a:prstGeom>
      </xdr:spPr>
    </xdr:pic>
    <xdr:clientData/>
  </xdr:twoCellAnchor>
  <xdr:twoCellAnchor editAs="oneCell">
    <xdr:from>
      <xdr:col>8</xdr:col>
      <xdr:colOff>606860</xdr:colOff>
      <xdr:row>4</xdr:row>
      <xdr:rowOff>160283</xdr:rowOff>
    </xdr:from>
    <xdr:to>
      <xdr:col>11</xdr:col>
      <xdr:colOff>148459</xdr:colOff>
      <xdr:row>27</xdr:row>
      <xdr:rowOff>156921</xdr:rowOff>
    </xdr:to>
    <xdr:pic>
      <xdr:nvPicPr>
        <xdr:cNvPr id="3" name="Grafik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7"/>
        <a:stretch>
          <a:fillRect/>
        </a:stretch>
      </xdr:blipFill>
      <xdr:spPr>
        <a:xfrm>
          <a:off x="6702860" y="1020817"/>
          <a:ext cx="5112082" cy="4378138"/>
        </a:xfrm>
        <a:prstGeom prst="rect">
          <a:avLst/>
        </a:prstGeom>
      </xdr:spPr>
    </xdr:pic>
    <xdr:clientData/>
  </xdr:twoCellAnchor>
  <xdr:twoCellAnchor editAs="oneCell">
    <xdr:from>
      <xdr:col>8</xdr:col>
      <xdr:colOff>717705</xdr:colOff>
      <xdr:row>48</xdr:row>
      <xdr:rowOff>124811</xdr:rowOff>
    </xdr:from>
    <xdr:to>
      <xdr:col>10</xdr:col>
      <xdr:colOff>731826</xdr:colOff>
      <xdr:row>66</xdr:row>
      <xdr:rowOff>151087</xdr:rowOff>
    </xdr:to>
    <xdr:pic>
      <xdr:nvPicPr>
        <xdr:cNvPr id="10" name="Grafik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8"/>
        <a:stretch>
          <a:fillRect/>
        </a:stretch>
      </xdr:blipFill>
      <xdr:spPr>
        <a:xfrm>
          <a:off x="6813705" y="9367345"/>
          <a:ext cx="4822604" cy="3455276"/>
        </a:xfrm>
        <a:prstGeom prst="rect">
          <a:avLst/>
        </a:prstGeom>
      </xdr:spPr>
    </xdr:pic>
    <xdr:clientData/>
  </xdr:twoCellAnchor>
  <xdr:twoCellAnchor editAs="oneCell">
    <xdr:from>
      <xdr:col>11</xdr:col>
      <xdr:colOff>525517</xdr:colOff>
      <xdr:row>3</xdr:row>
      <xdr:rowOff>122643</xdr:rowOff>
    </xdr:from>
    <xdr:to>
      <xdr:col>17</xdr:col>
      <xdr:colOff>159475</xdr:colOff>
      <xdr:row>11</xdr:row>
      <xdr:rowOff>47585</xdr:rowOff>
    </xdr:to>
    <xdr:pic>
      <xdr:nvPicPr>
        <xdr:cNvPr id="6" name="Grafik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9"/>
        <a:stretch>
          <a:fillRect/>
        </a:stretch>
      </xdr:blipFill>
      <xdr:spPr>
        <a:xfrm>
          <a:off x="12192000" y="792677"/>
          <a:ext cx="4205958" cy="1448942"/>
        </a:xfrm>
        <a:prstGeom prst="rect">
          <a:avLst/>
        </a:prstGeom>
      </xdr:spPr>
    </xdr:pic>
    <xdr:clientData/>
  </xdr:twoCellAnchor>
  <xdr:twoCellAnchor editAs="oneCell">
    <xdr:from>
      <xdr:col>9</xdr:col>
      <xdr:colOff>39412</xdr:colOff>
      <xdr:row>28</xdr:row>
      <xdr:rowOff>46792</xdr:rowOff>
    </xdr:from>
    <xdr:to>
      <xdr:col>10</xdr:col>
      <xdr:colOff>564930</xdr:colOff>
      <xdr:row>48</xdr:row>
      <xdr:rowOff>77752</xdr:rowOff>
    </xdr:to>
    <xdr:pic>
      <xdr:nvPicPr>
        <xdr:cNvPr id="7" name="Grafik 6">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10"/>
        <a:stretch>
          <a:fillRect/>
        </a:stretch>
      </xdr:blipFill>
      <xdr:spPr>
        <a:xfrm>
          <a:off x="6897412" y="5479326"/>
          <a:ext cx="4572001" cy="3840960"/>
        </a:xfrm>
        <a:prstGeom prst="rect">
          <a:avLst/>
        </a:prstGeom>
      </xdr:spPr>
    </xdr:pic>
    <xdr:clientData/>
  </xdr:twoCellAnchor>
  <xdr:twoCellAnchor editAs="oneCell">
    <xdr:from>
      <xdr:col>9</xdr:col>
      <xdr:colOff>52961</xdr:colOff>
      <xdr:row>67</xdr:row>
      <xdr:rowOff>45984</xdr:rowOff>
    </xdr:from>
    <xdr:to>
      <xdr:col>10</xdr:col>
      <xdr:colOff>665660</xdr:colOff>
      <xdr:row>83</xdr:row>
      <xdr:rowOff>118242</xdr:rowOff>
    </xdr:to>
    <xdr:pic>
      <xdr:nvPicPr>
        <xdr:cNvPr id="14" name="Grafik 13">
          <a:extLst>
            <a:ext uri="{FF2B5EF4-FFF2-40B4-BE49-F238E27FC236}">
              <a16:creationId xmlns:a16="http://schemas.microsoft.com/office/drawing/2014/main" id="{00000000-0008-0000-0E00-00000E000000}"/>
            </a:ext>
          </a:extLst>
        </xdr:cNvPr>
        <xdr:cNvPicPr>
          <a:picLocks noChangeAspect="1"/>
        </xdr:cNvPicPr>
      </xdr:nvPicPr>
      <xdr:blipFill>
        <a:blip xmlns:r="http://schemas.openxmlformats.org/officeDocument/2006/relationships" r:embed="rId11"/>
        <a:stretch>
          <a:fillRect/>
        </a:stretch>
      </xdr:blipFill>
      <xdr:spPr>
        <a:xfrm>
          <a:off x="6910961" y="12908018"/>
          <a:ext cx="4659182" cy="31202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819150</xdr:colOff>
          <xdr:row>5</xdr:row>
          <xdr:rowOff>209550</xdr:rowOff>
        </xdr:from>
        <xdr:to>
          <xdr:col>5</xdr:col>
          <xdr:colOff>1009650</xdr:colOff>
          <xdr:row>7</xdr:row>
          <xdr:rowOff>228600</xdr:rowOff>
        </xdr:to>
        <xdr:sp macro="" textlink="">
          <xdr:nvSpPr>
            <xdr:cNvPr id="88072" name="Check Box 8" descr="kalkulatoriche Tariferhöhung berücksichtigen" hidden="1">
              <a:extLst>
                <a:ext uri="{63B3BB69-23CF-44E3-9099-C40C66FF867C}">
                  <a14:compatExt spid="_x0000_s88072"/>
                </a:ext>
                <a:ext uri="{FF2B5EF4-FFF2-40B4-BE49-F238E27FC236}">
                  <a16:creationId xmlns:a16="http://schemas.microsoft.com/office/drawing/2014/main" id="{00000000-0008-0000-0100-0000085801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kalkulatoriche Tariferhöhung berücksichtigen</a:t>
              </a:r>
            </a:p>
          </xdr:txBody>
        </xdr:sp>
        <xdr:clientData/>
      </xdr:twoCellAnchor>
    </mc:Choice>
    <mc:Fallback/>
  </mc:AlternateContent>
  <xdr:twoCellAnchor editAs="oneCell">
    <xdr:from>
      <xdr:col>0</xdr:col>
      <xdr:colOff>85725</xdr:colOff>
      <xdr:row>0</xdr:row>
      <xdr:rowOff>0</xdr:rowOff>
    </xdr:from>
    <xdr:to>
      <xdr:col>1</xdr:col>
      <xdr:colOff>2287058</xdr:colOff>
      <xdr:row>2</xdr:row>
      <xdr:rowOff>0</xdr:rowOff>
    </xdr:to>
    <xdr:pic>
      <xdr:nvPicPr>
        <xdr:cNvPr id="5" name="Grafik 4" descr="Logo der Universität Hamburg">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525"/>
          <a:ext cx="238125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xdr:col>
          <xdr:colOff>819150</xdr:colOff>
          <xdr:row>8</xdr:row>
          <xdr:rowOff>219075</xdr:rowOff>
        </xdr:from>
        <xdr:to>
          <xdr:col>5</xdr:col>
          <xdr:colOff>1009650</xdr:colOff>
          <xdr:row>11</xdr:row>
          <xdr:rowOff>85725</xdr:rowOff>
        </xdr:to>
        <xdr:sp macro="" textlink="">
          <xdr:nvSpPr>
            <xdr:cNvPr id="88073" name="Check Box 9" descr="Einmalzahlung (EZ)" hidden="1">
              <a:extLst>
                <a:ext uri="{63B3BB69-23CF-44E3-9099-C40C66FF867C}">
                  <a14:compatExt spid="_x0000_s88073"/>
                </a:ext>
                <a:ext uri="{FF2B5EF4-FFF2-40B4-BE49-F238E27FC236}">
                  <a16:creationId xmlns:a16="http://schemas.microsoft.com/office/drawing/2014/main" id="{00000000-0008-0000-0100-0000095801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Mobilitätszuschuss (MZ)</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6</xdr:row>
          <xdr:rowOff>19050</xdr:rowOff>
        </xdr:from>
        <xdr:to>
          <xdr:col>6</xdr:col>
          <xdr:colOff>247650</xdr:colOff>
          <xdr:row>7</xdr:row>
          <xdr:rowOff>200025</xdr:rowOff>
        </xdr:to>
        <xdr:sp macro="" textlink="">
          <xdr:nvSpPr>
            <xdr:cNvPr id="113666" name="Check Box 2" descr="kalkulatoriche Tariferhöhung berücksichtigen" hidden="1">
              <a:extLst>
                <a:ext uri="{63B3BB69-23CF-44E3-9099-C40C66FF867C}">
                  <a14:compatExt spid="_x0000_s113666"/>
                </a:ext>
                <a:ext uri="{FF2B5EF4-FFF2-40B4-BE49-F238E27FC236}">
                  <a16:creationId xmlns:a16="http://schemas.microsoft.com/office/drawing/2014/main" id="{00000000-0008-0000-0200-000002BC01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kalkulatoriche Tariferhöhung berücksichtigen</a:t>
              </a:r>
            </a:p>
          </xdr:txBody>
        </xdr:sp>
        <xdr:clientData/>
      </xdr:twoCellAnchor>
    </mc:Choice>
    <mc:Fallback/>
  </mc:AlternateContent>
  <xdr:twoCellAnchor editAs="oneCell">
    <xdr:from>
      <xdr:col>0</xdr:col>
      <xdr:colOff>95250</xdr:colOff>
      <xdr:row>0</xdr:row>
      <xdr:rowOff>0</xdr:rowOff>
    </xdr:from>
    <xdr:to>
      <xdr:col>1</xdr:col>
      <xdr:colOff>2305050</xdr:colOff>
      <xdr:row>2</xdr:row>
      <xdr:rowOff>0</xdr:rowOff>
    </xdr:to>
    <xdr:pic>
      <xdr:nvPicPr>
        <xdr:cNvPr id="4" name="Grafik 3" descr="Logo der Universität Hambur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0"/>
          <a:ext cx="238125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609600</xdr:colOff>
          <xdr:row>5</xdr:row>
          <xdr:rowOff>19050</xdr:rowOff>
        </xdr:from>
        <xdr:to>
          <xdr:col>5</xdr:col>
          <xdr:colOff>828675</xdr:colOff>
          <xdr:row>7</xdr:row>
          <xdr:rowOff>9525</xdr:rowOff>
        </xdr:to>
        <xdr:sp macro="" textlink="">
          <xdr:nvSpPr>
            <xdr:cNvPr id="155651" name="Check Box 3" descr="kalkulatoriche Tariferhöhung berücksichtigen" hidden="1">
              <a:extLst>
                <a:ext uri="{63B3BB69-23CF-44E3-9099-C40C66FF867C}">
                  <a14:compatExt spid="_x0000_s155651"/>
                </a:ext>
                <a:ext uri="{FF2B5EF4-FFF2-40B4-BE49-F238E27FC236}">
                  <a16:creationId xmlns:a16="http://schemas.microsoft.com/office/drawing/2014/main" id="{00000000-0008-0000-0300-0000036002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kalkulatoriche Tariferhöhung berücksichtigen</a:t>
              </a:r>
            </a:p>
          </xdr:txBody>
        </xdr:sp>
        <xdr:clientData/>
      </xdr:twoCellAnchor>
    </mc:Choice>
    <mc:Fallback/>
  </mc:AlternateContent>
  <xdr:twoCellAnchor editAs="oneCell">
    <xdr:from>
      <xdr:col>0</xdr:col>
      <xdr:colOff>76200</xdr:colOff>
      <xdr:row>0</xdr:row>
      <xdr:rowOff>0</xdr:rowOff>
    </xdr:from>
    <xdr:to>
      <xdr:col>2</xdr:col>
      <xdr:colOff>240030</xdr:colOff>
      <xdr:row>2</xdr:row>
      <xdr:rowOff>0</xdr:rowOff>
    </xdr:to>
    <xdr:pic>
      <xdr:nvPicPr>
        <xdr:cNvPr id="7" name="Grafik 6" descr="Logo der Universität Hamburg">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38125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514351</xdr:colOff>
      <xdr:row>8</xdr:row>
      <xdr:rowOff>114300</xdr:rowOff>
    </xdr:from>
    <xdr:to>
      <xdr:col>7</xdr:col>
      <xdr:colOff>1219200</xdr:colOff>
      <xdr:row>13</xdr:row>
      <xdr:rowOff>190499</xdr:rowOff>
    </xdr:to>
    <xdr:sp macro="" textlink="">
      <xdr:nvSpPr>
        <xdr:cNvPr id="4" name="Textfeld 3">
          <a:extLst>
            <a:ext uri="{FF2B5EF4-FFF2-40B4-BE49-F238E27FC236}">
              <a16:creationId xmlns:a16="http://schemas.microsoft.com/office/drawing/2014/main" id="{00000000-0008-0000-0300-000004000000}"/>
            </a:ext>
          </a:extLst>
        </xdr:cNvPr>
        <xdr:cNvSpPr txBox="1"/>
      </xdr:nvSpPr>
      <xdr:spPr>
        <a:xfrm>
          <a:off x="5627371" y="2423160"/>
          <a:ext cx="4956809" cy="1104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latin typeface="TheSans UHH" panose="020B0502050302020203" pitchFamily="34" charset="0"/>
            </a:rPr>
            <a:t>Hinweis</a:t>
          </a:r>
          <a:r>
            <a:rPr lang="de-DE" sz="1400" b="1" baseline="0">
              <a:latin typeface="TheSans UHH" panose="020B0502050302020203" pitchFamily="34" charset="0"/>
            </a:rPr>
            <a:t>:</a:t>
          </a:r>
          <a:endParaRPr lang="de-DE" sz="1400" b="0" baseline="0">
            <a:latin typeface="TheSans UHH" panose="020B0502050302020203" pitchFamily="34" charset="0"/>
          </a:endParaRPr>
        </a:p>
        <a:p>
          <a:r>
            <a:rPr lang="de-DE" sz="1100" b="0" baseline="0">
              <a:latin typeface="TheSans UHH" panose="020B0502050302020203" pitchFamily="34" charset="0"/>
            </a:rPr>
            <a:t>Die Hochrechnung für AZA(P)-Anträge kann von der PKHR für Tarifpersonal abweichen. Der Grund hierfür ist die monatliche Ermittlung der JSZ zuzüglich des Arbeitgeberanteils, insbesondere bei Hochrechnungen, die nicht über das ganze Jahr erfolgen. In der Regel fällt diese Hochrechnung dann etwas geringer aus. </a:t>
          </a:r>
          <a:endParaRPr lang="de-DE" sz="1100" baseline="0">
            <a:latin typeface="TheSans UHH" panose="020B0502050302020203"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752251</xdr:colOff>
      <xdr:row>98</xdr:row>
      <xdr:rowOff>62961</xdr:rowOff>
    </xdr:from>
    <xdr:to>
      <xdr:col>27</xdr:col>
      <xdr:colOff>439490</xdr:colOff>
      <xdr:row>102</xdr:row>
      <xdr:rowOff>20309</xdr:rowOff>
    </xdr:to>
    <xdr:sp macro="" textlink="">
      <xdr:nvSpPr>
        <xdr:cNvPr id="2" name="Pfeil nach unten 1">
          <a:extLst>
            <a:ext uri="{FF2B5EF4-FFF2-40B4-BE49-F238E27FC236}">
              <a16:creationId xmlns:a16="http://schemas.microsoft.com/office/drawing/2014/main" id="{00000000-0008-0000-0400-000002000000}"/>
            </a:ext>
          </a:extLst>
        </xdr:cNvPr>
        <xdr:cNvSpPr/>
      </xdr:nvSpPr>
      <xdr:spPr>
        <a:xfrm>
          <a:off x="22333180" y="29141425"/>
          <a:ext cx="1197631" cy="855420"/>
        </a:xfrm>
        <a:prstGeom prst="downArrow">
          <a:avLst>
            <a:gd name="adj1" fmla="val 50000"/>
            <a:gd name="adj2" fmla="val 52128"/>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27</xdr:col>
          <xdr:colOff>400050</xdr:colOff>
          <xdr:row>4</xdr:row>
          <xdr:rowOff>66675</xdr:rowOff>
        </xdr:from>
        <xdr:to>
          <xdr:col>29</xdr:col>
          <xdr:colOff>171450</xdr:colOff>
          <xdr:row>4</xdr:row>
          <xdr:rowOff>571500</xdr:rowOff>
        </xdr:to>
        <xdr:sp macro="" textlink="">
          <xdr:nvSpPr>
            <xdr:cNvPr id="1038" name="Check Box 14" descr="kalkulatoriche Tariferhöhung berücksichtigen" hidden="1">
              <a:extLst>
                <a:ext uri="{63B3BB69-23CF-44E3-9099-C40C66FF867C}">
                  <a14:compatExt spid="_x0000_s1038"/>
                </a:ext>
                <a:ext uri="{FF2B5EF4-FFF2-40B4-BE49-F238E27FC236}">
                  <a16:creationId xmlns:a16="http://schemas.microsoft.com/office/drawing/2014/main" id="{00000000-0008-0000-0400-00000E0400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kalkulatoriche Tariferhöhung berücksichtigen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333375</xdr:colOff>
          <xdr:row>5</xdr:row>
          <xdr:rowOff>133350</xdr:rowOff>
        </xdr:from>
        <xdr:to>
          <xdr:col>27</xdr:col>
          <xdr:colOff>95250</xdr:colOff>
          <xdr:row>10</xdr:row>
          <xdr:rowOff>66675</xdr:rowOff>
        </xdr:to>
        <xdr:sp macro="" textlink="">
          <xdr:nvSpPr>
            <xdr:cNvPr id="1063" name="Check Box 39" descr="unbefristet Beschäftigt" hidden="1">
              <a:extLst>
                <a:ext uri="{63B3BB69-23CF-44E3-9099-C40C66FF867C}">
                  <a14:compatExt spid="_x0000_s1063"/>
                </a:ext>
                <a:ext uri="{FF2B5EF4-FFF2-40B4-BE49-F238E27FC236}">
                  <a16:creationId xmlns:a16="http://schemas.microsoft.com/office/drawing/2014/main" id="{00000000-0008-0000-0400-0000270400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unbefristet Beschäftigt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419100</xdr:colOff>
          <xdr:row>5</xdr:row>
          <xdr:rowOff>133350</xdr:rowOff>
        </xdr:from>
        <xdr:to>
          <xdr:col>29</xdr:col>
          <xdr:colOff>180975</xdr:colOff>
          <xdr:row>10</xdr:row>
          <xdr:rowOff>57150</xdr:rowOff>
        </xdr:to>
        <xdr:sp macro="" textlink="">
          <xdr:nvSpPr>
            <xdr:cNvPr id="1065" name="Check Box 41" descr="Einmalzahlung (EZ)" hidden="1">
              <a:extLst>
                <a:ext uri="{63B3BB69-23CF-44E3-9099-C40C66FF867C}">
                  <a14:compatExt spid="_x0000_s1065"/>
                </a:ext>
                <a:ext uri="{FF2B5EF4-FFF2-40B4-BE49-F238E27FC236}">
                  <a16:creationId xmlns:a16="http://schemas.microsoft.com/office/drawing/2014/main" id="{00000000-0008-0000-0400-0000290400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Mobilitätszuschuss (MZ)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323850</xdr:colOff>
          <xdr:row>4</xdr:row>
          <xdr:rowOff>66675</xdr:rowOff>
        </xdr:from>
        <xdr:to>
          <xdr:col>27</xdr:col>
          <xdr:colOff>95250</xdr:colOff>
          <xdr:row>5</xdr:row>
          <xdr:rowOff>0</xdr:rowOff>
        </xdr:to>
        <xdr:sp macro="" textlink="">
          <xdr:nvSpPr>
            <xdr:cNvPr id="1066" name="Check Box 42" descr="Anteilige JSZ berechnen&#10;" hidden="1">
              <a:extLst>
                <a:ext uri="{63B3BB69-23CF-44E3-9099-C40C66FF867C}">
                  <a14:compatExt spid="_x0000_s1066"/>
                </a:ext>
                <a:ext uri="{FF2B5EF4-FFF2-40B4-BE49-F238E27FC236}">
                  <a16:creationId xmlns:a16="http://schemas.microsoft.com/office/drawing/2014/main" id="{00000000-0008-0000-0400-00002A0400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Anteilige JSZ berechnen</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26</xdr:col>
      <xdr:colOff>752251</xdr:colOff>
      <xdr:row>98</xdr:row>
      <xdr:rowOff>62961</xdr:rowOff>
    </xdr:from>
    <xdr:to>
      <xdr:col>27</xdr:col>
      <xdr:colOff>439490</xdr:colOff>
      <xdr:row>102</xdr:row>
      <xdr:rowOff>20309</xdr:rowOff>
    </xdr:to>
    <xdr:sp macro="" textlink="">
      <xdr:nvSpPr>
        <xdr:cNvPr id="2" name="Pfeil nach unten 1">
          <a:extLst>
            <a:ext uri="{FF2B5EF4-FFF2-40B4-BE49-F238E27FC236}">
              <a16:creationId xmlns:a16="http://schemas.microsoft.com/office/drawing/2014/main" id="{00000000-0008-0000-0500-000002000000}"/>
            </a:ext>
          </a:extLst>
        </xdr:cNvPr>
        <xdr:cNvSpPr/>
      </xdr:nvSpPr>
      <xdr:spPr>
        <a:xfrm>
          <a:off x="16095121" y="20147376"/>
          <a:ext cx="609259" cy="747923"/>
        </a:xfrm>
        <a:prstGeom prst="downArrow">
          <a:avLst>
            <a:gd name="adj1" fmla="val 50000"/>
            <a:gd name="adj2" fmla="val 52128"/>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27</xdr:col>
          <xdr:colOff>400050</xdr:colOff>
          <xdr:row>4</xdr:row>
          <xdr:rowOff>66675</xdr:rowOff>
        </xdr:from>
        <xdr:to>
          <xdr:col>29</xdr:col>
          <xdr:colOff>171450</xdr:colOff>
          <xdr:row>4</xdr:row>
          <xdr:rowOff>571500</xdr:rowOff>
        </xdr:to>
        <xdr:sp macro="" textlink="">
          <xdr:nvSpPr>
            <xdr:cNvPr id="185346" name="Check Box 2" descr="kalkulatoriche Tariferhöhung berücksichtigen" hidden="1">
              <a:extLst>
                <a:ext uri="{63B3BB69-23CF-44E3-9099-C40C66FF867C}">
                  <a14:compatExt spid="_x0000_s185346"/>
                </a:ext>
                <a:ext uri="{FF2B5EF4-FFF2-40B4-BE49-F238E27FC236}">
                  <a16:creationId xmlns:a16="http://schemas.microsoft.com/office/drawing/2014/main" id="{00000000-0008-0000-0500-000002D402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kalkulatoriche Tariferhöhung berücksichtigen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419100</xdr:colOff>
          <xdr:row>5</xdr:row>
          <xdr:rowOff>133350</xdr:rowOff>
        </xdr:from>
        <xdr:to>
          <xdr:col>29</xdr:col>
          <xdr:colOff>171450</xdr:colOff>
          <xdr:row>6</xdr:row>
          <xdr:rowOff>57150</xdr:rowOff>
        </xdr:to>
        <xdr:sp macro="" textlink="">
          <xdr:nvSpPr>
            <xdr:cNvPr id="185348" name="Check Box 4" descr="Einmalzahlung (EZ)" hidden="1">
              <a:extLst>
                <a:ext uri="{63B3BB69-23CF-44E3-9099-C40C66FF867C}">
                  <a14:compatExt spid="_x0000_s185348"/>
                </a:ext>
                <a:ext uri="{FF2B5EF4-FFF2-40B4-BE49-F238E27FC236}">
                  <a16:creationId xmlns:a16="http://schemas.microsoft.com/office/drawing/2014/main" id="{00000000-0008-0000-0500-000004D402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Mobilitätszuschuss (MZ)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361950</xdr:colOff>
          <xdr:row>4</xdr:row>
          <xdr:rowOff>66675</xdr:rowOff>
        </xdr:from>
        <xdr:to>
          <xdr:col>27</xdr:col>
          <xdr:colOff>133350</xdr:colOff>
          <xdr:row>4</xdr:row>
          <xdr:rowOff>581025</xdr:rowOff>
        </xdr:to>
        <xdr:sp macro="" textlink="">
          <xdr:nvSpPr>
            <xdr:cNvPr id="185356" name="Check Box 12" descr="Anteilige JSZ berechnen&#10;" hidden="1">
              <a:extLst>
                <a:ext uri="{63B3BB69-23CF-44E3-9099-C40C66FF867C}">
                  <a14:compatExt spid="_x0000_s185356"/>
                </a:ext>
                <a:ext uri="{FF2B5EF4-FFF2-40B4-BE49-F238E27FC236}">
                  <a16:creationId xmlns:a16="http://schemas.microsoft.com/office/drawing/2014/main" id="{00000000-0008-0000-0500-00000CD402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Anteilige JSZ berechnen</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26</xdr:col>
      <xdr:colOff>203163</xdr:colOff>
      <xdr:row>97</xdr:row>
      <xdr:rowOff>96579</xdr:rowOff>
    </xdr:from>
    <xdr:to>
      <xdr:col>26</xdr:col>
      <xdr:colOff>786873</xdr:colOff>
      <xdr:row>101</xdr:row>
      <xdr:rowOff>65133</xdr:rowOff>
    </xdr:to>
    <xdr:sp macro="" textlink="">
      <xdr:nvSpPr>
        <xdr:cNvPr id="2" name="Pfeil nach unten 1">
          <a:extLst>
            <a:ext uri="{FF2B5EF4-FFF2-40B4-BE49-F238E27FC236}">
              <a16:creationId xmlns:a16="http://schemas.microsoft.com/office/drawing/2014/main" id="{00000000-0008-0000-0600-000002000000}"/>
            </a:ext>
          </a:extLst>
        </xdr:cNvPr>
        <xdr:cNvSpPr/>
      </xdr:nvSpPr>
      <xdr:spPr>
        <a:xfrm>
          <a:off x="15118192" y="20950726"/>
          <a:ext cx="583710" cy="820201"/>
        </a:xfrm>
        <a:prstGeom prst="downArrow">
          <a:avLst>
            <a:gd name="adj1" fmla="val 50000"/>
            <a:gd name="adj2" fmla="val 52128"/>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27</xdr:col>
          <xdr:colOff>400050</xdr:colOff>
          <xdr:row>4</xdr:row>
          <xdr:rowOff>66675</xdr:rowOff>
        </xdr:from>
        <xdr:to>
          <xdr:col>29</xdr:col>
          <xdr:colOff>152400</xdr:colOff>
          <xdr:row>4</xdr:row>
          <xdr:rowOff>571500</xdr:rowOff>
        </xdr:to>
        <xdr:sp macro="" textlink="">
          <xdr:nvSpPr>
            <xdr:cNvPr id="202754" name="Check Box 2" descr="kalkulatoriche Tariferhöhung berücksichtigen" hidden="1">
              <a:extLst>
                <a:ext uri="{63B3BB69-23CF-44E3-9099-C40C66FF867C}">
                  <a14:compatExt spid="_x0000_s202754"/>
                </a:ext>
                <a:ext uri="{FF2B5EF4-FFF2-40B4-BE49-F238E27FC236}">
                  <a16:creationId xmlns:a16="http://schemas.microsoft.com/office/drawing/2014/main" id="{00000000-0008-0000-0600-0000021803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kalkulatoriche Tariferhöhung berücksichtigen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333375</xdr:colOff>
          <xdr:row>5</xdr:row>
          <xdr:rowOff>133350</xdr:rowOff>
        </xdr:from>
        <xdr:to>
          <xdr:col>27</xdr:col>
          <xdr:colOff>104775</xdr:colOff>
          <xdr:row>6</xdr:row>
          <xdr:rowOff>66675</xdr:rowOff>
        </xdr:to>
        <xdr:sp macro="" textlink="">
          <xdr:nvSpPr>
            <xdr:cNvPr id="202755" name="Check Box 3" descr="unbefristet Beschäftigt" hidden="1">
              <a:extLst>
                <a:ext uri="{63B3BB69-23CF-44E3-9099-C40C66FF867C}">
                  <a14:compatExt spid="_x0000_s202755"/>
                </a:ext>
                <a:ext uri="{FF2B5EF4-FFF2-40B4-BE49-F238E27FC236}">
                  <a16:creationId xmlns:a16="http://schemas.microsoft.com/office/drawing/2014/main" id="{00000000-0008-0000-0600-0000031803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unbefristet Beschäftigt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419100</xdr:colOff>
          <xdr:row>5</xdr:row>
          <xdr:rowOff>133350</xdr:rowOff>
        </xdr:from>
        <xdr:to>
          <xdr:col>29</xdr:col>
          <xdr:colOff>171450</xdr:colOff>
          <xdr:row>6</xdr:row>
          <xdr:rowOff>47625</xdr:rowOff>
        </xdr:to>
        <xdr:sp macro="" textlink="">
          <xdr:nvSpPr>
            <xdr:cNvPr id="202756" name="Check Box 4" descr="Einmalzahlung (EZ)" hidden="1">
              <a:extLst>
                <a:ext uri="{63B3BB69-23CF-44E3-9099-C40C66FF867C}">
                  <a14:compatExt spid="_x0000_s202756"/>
                </a:ext>
                <a:ext uri="{FF2B5EF4-FFF2-40B4-BE49-F238E27FC236}">
                  <a16:creationId xmlns:a16="http://schemas.microsoft.com/office/drawing/2014/main" id="{00000000-0008-0000-0600-0000041803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Mobilitätszuschuss (MZ)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323850</xdr:colOff>
          <xdr:row>4</xdr:row>
          <xdr:rowOff>57150</xdr:rowOff>
        </xdr:from>
        <xdr:to>
          <xdr:col>27</xdr:col>
          <xdr:colOff>85725</xdr:colOff>
          <xdr:row>4</xdr:row>
          <xdr:rowOff>571500</xdr:rowOff>
        </xdr:to>
        <xdr:sp macro="" textlink="">
          <xdr:nvSpPr>
            <xdr:cNvPr id="202765" name="Check Box 13" descr="Anteilige JSZ berechnen&#10;" hidden="1">
              <a:extLst>
                <a:ext uri="{63B3BB69-23CF-44E3-9099-C40C66FF867C}">
                  <a14:compatExt spid="_x0000_s202765"/>
                </a:ext>
                <a:ext uri="{FF2B5EF4-FFF2-40B4-BE49-F238E27FC236}">
                  <a16:creationId xmlns:a16="http://schemas.microsoft.com/office/drawing/2014/main" id="{00000000-0008-0000-0600-00000D1803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Anteilige JSZ berechnen</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26</xdr:col>
      <xdr:colOff>752251</xdr:colOff>
      <xdr:row>98</xdr:row>
      <xdr:rowOff>62961</xdr:rowOff>
    </xdr:from>
    <xdr:to>
      <xdr:col>27</xdr:col>
      <xdr:colOff>439490</xdr:colOff>
      <xdr:row>102</xdr:row>
      <xdr:rowOff>20309</xdr:rowOff>
    </xdr:to>
    <xdr:sp macro="" textlink="">
      <xdr:nvSpPr>
        <xdr:cNvPr id="2" name="Pfeil nach unten 1">
          <a:extLst>
            <a:ext uri="{FF2B5EF4-FFF2-40B4-BE49-F238E27FC236}">
              <a16:creationId xmlns:a16="http://schemas.microsoft.com/office/drawing/2014/main" id="{00000000-0008-0000-0700-000002000000}"/>
            </a:ext>
          </a:extLst>
        </xdr:cNvPr>
        <xdr:cNvSpPr/>
      </xdr:nvSpPr>
      <xdr:spPr>
        <a:xfrm>
          <a:off x="15649351" y="20979861"/>
          <a:ext cx="582589" cy="805073"/>
        </a:xfrm>
        <a:prstGeom prst="downArrow">
          <a:avLst>
            <a:gd name="adj1" fmla="val 50000"/>
            <a:gd name="adj2" fmla="val 52128"/>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27</xdr:col>
          <xdr:colOff>400050</xdr:colOff>
          <xdr:row>4</xdr:row>
          <xdr:rowOff>66675</xdr:rowOff>
        </xdr:from>
        <xdr:to>
          <xdr:col>29</xdr:col>
          <xdr:colOff>161925</xdr:colOff>
          <xdr:row>4</xdr:row>
          <xdr:rowOff>571500</xdr:rowOff>
        </xdr:to>
        <xdr:sp macro="" textlink="">
          <xdr:nvSpPr>
            <xdr:cNvPr id="200706" name="Check Box 2" descr="kalkulatoriche Tariferhöhung berücksichtigen" hidden="1">
              <a:extLst>
                <a:ext uri="{63B3BB69-23CF-44E3-9099-C40C66FF867C}">
                  <a14:compatExt spid="_x0000_s200706"/>
                </a:ext>
                <a:ext uri="{FF2B5EF4-FFF2-40B4-BE49-F238E27FC236}">
                  <a16:creationId xmlns:a16="http://schemas.microsoft.com/office/drawing/2014/main" id="{00000000-0008-0000-0700-0000021003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kalkulatoriche Tariferhöhung berücksichtigen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333375</xdr:colOff>
          <xdr:row>5</xdr:row>
          <xdr:rowOff>133350</xdr:rowOff>
        </xdr:from>
        <xdr:to>
          <xdr:col>27</xdr:col>
          <xdr:colOff>95250</xdr:colOff>
          <xdr:row>10</xdr:row>
          <xdr:rowOff>66675</xdr:rowOff>
        </xdr:to>
        <xdr:sp macro="" textlink="">
          <xdr:nvSpPr>
            <xdr:cNvPr id="200707" name="Check Box 3" descr="unbefristet Beschäftigt" hidden="1">
              <a:extLst>
                <a:ext uri="{63B3BB69-23CF-44E3-9099-C40C66FF867C}">
                  <a14:compatExt spid="_x0000_s200707"/>
                </a:ext>
                <a:ext uri="{FF2B5EF4-FFF2-40B4-BE49-F238E27FC236}">
                  <a16:creationId xmlns:a16="http://schemas.microsoft.com/office/drawing/2014/main" id="{00000000-0008-0000-0700-0000031003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unbefristet Beschäftigt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419100</xdr:colOff>
          <xdr:row>5</xdr:row>
          <xdr:rowOff>133350</xdr:rowOff>
        </xdr:from>
        <xdr:to>
          <xdr:col>29</xdr:col>
          <xdr:colOff>180975</xdr:colOff>
          <xdr:row>10</xdr:row>
          <xdr:rowOff>57150</xdr:rowOff>
        </xdr:to>
        <xdr:sp macro="" textlink="">
          <xdr:nvSpPr>
            <xdr:cNvPr id="200708" name="Check Box 4" descr="Einmalzahlung (EZ)" hidden="1">
              <a:extLst>
                <a:ext uri="{63B3BB69-23CF-44E3-9099-C40C66FF867C}">
                  <a14:compatExt spid="_x0000_s200708"/>
                </a:ext>
                <a:ext uri="{FF2B5EF4-FFF2-40B4-BE49-F238E27FC236}">
                  <a16:creationId xmlns:a16="http://schemas.microsoft.com/office/drawing/2014/main" id="{00000000-0008-0000-0700-0000041003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Mobilitätszuschuss (MZ)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304800</xdr:colOff>
          <xdr:row>4</xdr:row>
          <xdr:rowOff>38100</xdr:rowOff>
        </xdr:from>
        <xdr:to>
          <xdr:col>27</xdr:col>
          <xdr:colOff>76200</xdr:colOff>
          <xdr:row>4</xdr:row>
          <xdr:rowOff>552450</xdr:rowOff>
        </xdr:to>
        <xdr:sp macro="" textlink="">
          <xdr:nvSpPr>
            <xdr:cNvPr id="200715" name="Check Box 11" descr="Anteilige JSZ berechnen&#10;" hidden="1">
              <a:extLst>
                <a:ext uri="{63B3BB69-23CF-44E3-9099-C40C66FF867C}">
                  <a14:compatExt spid="_x0000_s200715"/>
                </a:ext>
                <a:ext uri="{FF2B5EF4-FFF2-40B4-BE49-F238E27FC236}">
                  <a16:creationId xmlns:a16="http://schemas.microsoft.com/office/drawing/2014/main" id="{00000000-0008-0000-0700-00000B1003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Anteilige JSZ berechnen</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17</xdr:col>
      <xdr:colOff>691242</xdr:colOff>
      <xdr:row>77</xdr:row>
      <xdr:rowOff>31296</xdr:rowOff>
    </xdr:from>
    <xdr:to>
      <xdr:col>18</xdr:col>
      <xdr:colOff>236723</xdr:colOff>
      <xdr:row>80</xdr:row>
      <xdr:rowOff>157191</xdr:rowOff>
    </xdr:to>
    <xdr:sp macro="" textlink="">
      <xdr:nvSpPr>
        <xdr:cNvPr id="3" name="Pfeil nach unten 2">
          <a:extLst>
            <a:ext uri="{FF2B5EF4-FFF2-40B4-BE49-F238E27FC236}">
              <a16:creationId xmlns:a16="http://schemas.microsoft.com/office/drawing/2014/main" id="{00000000-0008-0000-0800-000003000000}"/>
            </a:ext>
          </a:extLst>
        </xdr:cNvPr>
        <xdr:cNvSpPr/>
      </xdr:nvSpPr>
      <xdr:spPr>
        <a:xfrm>
          <a:off x="11625942" y="17757321"/>
          <a:ext cx="459881" cy="725970"/>
        </a:xfrm>
        <a:prstGeom prst="downArrow">
          <a:avLst>
            <a:gd name="adj1" fmla="val 50000"/>
            <a:gd name="adj2" fmla="val 52128"/>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17</xdr:col>
          <xdr:colOff>514350</xdr:colOff>
          <xdr:row>5</xdr:row>
          <xdr:rowOff>28575</xdr:rowOff>
        </xdr:from>
        <xdr:to>
          <xdr:col>19</xdr:col>
          <xdr:colOff>561975</xdr:colOff>
          <xdr:row>6</xdr:row>
          <xdr:rowOff>57150</xdr:rowOff>
        </xdr:to>
        <xdr:sp macro="" textlink="">
          <xdr:nvSpPr>
            <xdr:cNvPr id="49162" name="Check Box 10" descr="kalkulatoriche Tariferhöhung berücksichtigen" hidden="1">
              <a:extLst>
                <a:ext uri="{63B3BB69-23CF-44E3-9099-C40C66FF867C}">
                  <a14:compatExt spid="_x0000_s49162"/>
                </a:ext>
                <a:ext uri="{FF2B5EF4-FFF2-40B4-BE49-F238E27FC236}">
                  <a16:creationId xmlns:a16="http://schemas.microsoft.com/office/drawing/2014/main" id="{00000000-0008-0000-0800-00000AC000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kalkulatoriche Tariferhöhung berücksichtigen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514350</xdr:colOff>
          <xdr:row>3</xdr:row>
          <xdr:rowOff>200025</xdr:rowOff>
        </xdr:from>
        <xdr:to>
          <xdr:col>19</xdr:col>
          <xdr:colOff>533400</xdr:colOff>
          <xdr:row>4</xdr:row>
          <xdr:rowOff>371475</xdr:rowOff>
        </xdr:to>
        <xdr:sp macro="" textlink="">
          <xdr:nvSpPr>
            <xdr:cNvPr id="49171" name="Check Box 19" hidden="1">
              <a:extLst>
                <a:ext uri="{63B3BB69-23CF-44E3-9099-C40C66FF867C}">
                  <a14:compatExt spid="_x0000_s49171"/>
                </a:ext>
                <a:ext uri="{FF2B5EF4-FFF2-40B4-BE49-F238E27FC236}">
                  <a16:creationId xmlns:a16="http://schemas.microsoft.com/office/drawing/2014/main" id="{00000000-0008-0000-0800-000013C000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Ag-Anteil ( AGA) - wie bei normalen Angestellten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514350</xdr:colOff>
          <xdr:row>2</xdr:row>
          <xdr:rowOff>228600</xdr:rowOff>
        </xdr:from>
        <xdr:to>
          <xdr:col>19</xdr:col>
          <xdr:colOff>552450</xdr:colOff>
          <xdr:row>2</xdr:row>
          <xdr:rowOff>781050</xdr:rowOff>
        </xdr:to>
        <xdr:sp macro="" textlink="">
          <xdr:nvSpPr>
            <xdr:cNvPr id="49175" name="Check Box 23" hidden="1">
              <a:extLst>
                <a:ext uri="{63B3BB69-23CF-44E3-9099-C40C66FF867C}">
                  <a14:compatExt spid="_x0000_s49175"/>
                </a:ext>
                <a:ext uri="{FF2B5EF4-FFF2-40B4-BE49-F238E27FC236}">
                  <a16:creationId xmlns:a16="http://schemas.microsoft.com/office/drawing/2014/main" id="{00000000-0008-0000-0800-000017C00000}"/>
                </a:ext>
              </a:extLst>
            </xdr:cNvPr>
            <xdr:cNvSpPr/>
          </xdr:nvSpPr>
          <xdr:spPr bwMode="auto">
            <a:xfrm>
              <a:off x="0" y="0"/>
              <a:ext cx="0" cy="0"/>
            </a:xfrm>
            <a:prstGeom prst="rect">
              <a:avLst/>
            </a:prstGeom>
            <a:solidFill>
              <a:srgbClr val="B8CCE4"/>
            </a:solidFill>
            <a:ln w="19050">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Mini-Job-Grenze bei Ag-Anteil nicht berücksichtigen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arepoint.uni-hamburg.de/verwaltung/abteilung-4/wim/Documents/2%20Projektbearbeitung/07%20Personal/02%20Hochrechnung/HR-TOOL_TVL-SHK-WHK-TUT_6-Jahre_V15.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AO4800\AppData\Local\Microsoft\Windows\INetCache\Content.Outlook\YGP0ZL7U\PKHR_Tool_Komm%20TG%20(002).xlt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R-DM (U3,U4,U5AUF)"/>
      <sheetName val="HR-DM_Druckversion"/>
      <sheetName val="HR-LM (U2,U5FOD,U7)"/>
      <sheetName val="HR-LM_Druckversion"/>
      <sheetName val="HR-SHK, WHK u.Tut"/>
      <sheetName val="HR-SHK, WHK u. Tut_Druckversion"/>
      <sheetName val="HR-EU"/>
      <sheetName val="HR-EU_Druckversion"/>
      <sheetName val="HR-AZA(P)"/>
      <sheetName val="HR-AZA(P)_Druckversion"/>
      <sheetName val="TV-L Tabellen"/>
      <sheetName val="Nebenkosten"/>
      <sheetName val="Std. Satz_SHK, WHK u. TUT"/>
      <sheetName val="NK_SHK, WHK u. TUT"/>
      <sheetName val="Berechnungsgrundlagen"/>
      <sheetName val="DROP DOWN"/>
    </sheetNames>
    <sheetDataSet>
      <sheetData sheetId="0"/>
      <sheetData sheetId="1"/>
      <sheetData sheetId="2"/>
      <sheetData sheetId="3"/>
      <sheetData sheetId="4"/>
      <sheetData sheetId="5"/>
      <sheetData sheetId="6"/>
      <sheetData sheetId="7"/>
      <sheetData sheetId="8"/>
      <sheetData sheetId="9"/>
      <sheetData sheetId="10">
        <row r="5">
          <cell r="B5">
            <v>1</v>
          </cell>
          <cell r="C5">
            <v>2</v>
          </cell>
          <cell r="D5">
            <v>3</v>
          </cell>
          <cell r="E5">
            <v>4</v>
          </cell>
          <cell r="F5">
            <v>5</v>
          </cell>
          <cell r="G5">
            <v>6</v>
          </cell>
          <cell r="J5">
            <v>1</v>
          </cell>
          <cell r="K5">
            <v>2</v>
          </cell>
          <cell r="L5">
            <v>3</v>
          </cell>
          <cell r="M5">
            <v>4</v>
          </cell>
          <cell r="N5">
            <v>5</v>
          </cell>
          <cell r="O5">
            <v>6</v>
          </cell>
          <cell r="R5">
            <v>1</v>
          </cell>
          <cell r="S5">
            <v>2</v>
          </cell>
          <cell r="T5">
            <v>3</v>
          </cell>
          <cell r="U5">
            <v>4</v>
          </cell>
          <cell r="V5">
            <v>5</v>
          </cell>
          <cell r="W5">
            <v>6</v>
          </cell>
          <cell r="Z5">
            <v>1</v>
          </cell>
          <cell r="AA5">
            <v>2</v>
          </cell>
          <cell r="AB5">
            <v>3</v>
          </cell>
          <cell r="AC5">
            <v>4</v>
          </cell>
          <cell r="AD5">
            <v>5</v>
          </cell>
          <cell r="AE5">
            <v>6</v>
          </cell>
          <cell r="AH5">
            <v>1</v>
          </cell>
          <cell r="AI5">
            <v>2</v>
          </cell>
          <cell r="AJ5">
            <v>3</v>
          </cell>
          <cell r="AK5">
            <v>4</v>
          </cell>
          <cell r="AL5">
            <v>5</v>
          </cell>
          <cell r="AM5">
            <v>6</v>
          </cell>
          <cell r="AP5">
            <v>1</v>
          </cell>
          <cell r="AQ5">
            <v>2</v>
          </cell>
          <cell r="AR5">
            <v>3</v>
          </cell>
          <cell r="AS5">
            <v>4</v>
          </cell>
          <cell r="AT5">
            <v>5</v>
          </cell>
          <cell r="AU5">
            <v>6</v>
          </cell>
        </row>
        <row r="6">
          <cell r="A6" t="str">
            <v>15 Ü</v>
          </cell>
          <cell r="B6">
            <v>6122.63</v>
          </cell>
          <cell r="C6">
            <v>6795.9</v>
          </cell>
          <cell r="D6">
            <v>7434.88</v>
          </cell>
          <cell r="E6">
            <v>7853.95</v>
          </cell>
          <cell r="F6">
            <v>7957.04</v>
          </cell>
          <cell r="G6">
            <v>0</v>
          </cell>
          <cell r="I6" t="str">
            <v>15 Ü</v>
          </cell>
          <cell r="J6">
            <v>6122.63</v>
          </cell>
          <cell r="K6">
            <v>6795.9</v>
          </cell>
          <cell r="L6">
            <v>7434.88</v>
          </cell>
          <cell r="M6">
            <v>7853.95</v>
          </cell>
          <cell r="N6">
            <v>7957.04</v>
          </cell>
          <cell r="O6">
            <v>0</v>
          </cell>
          <cell r="Q6" t="str">
            <v>15 Ü</v>
          </cell>
          <cell r="R6">
            <v>6122.63</v>
          </cell>
          <cell r="S6">
            <v>6795.9</v>
          </cell>
          <cell r="T6">
            <v>7434.88</v>
          </cell>
          <cell r="U6">
            <v>7853.95</v>
          </cell>
          <cell r="V6">
            <v>7957.04</v>
          </cell>
          <cell r="W6">
            <v>0</v>
          </cell>
          <cell r="Y6" t="str">
            <v>15 Ü</v>
          </cell>
          <cell r="Z6">
            <v>6122.63</v>
          </cell>
          <cell r="AA6">
            <v>6795.9</v>
          </cell>
          <cell r="AB6">
            <v>7434.88</v>
          </cell>
          <cell r="AC6">
            <v>7853.95</v>
          </cell>
          <cell r="AD6">
            <v>7957.04</v>
          </cell>
          <cell r="AE6">
            <v>0</v>
          </cell>
          <cell r="AG6" t="str">
            <v>15 Ü</v>
          </cell>
          <cell r="AH6">
            <v>6122.63</v>
          </cell>
          <cell r="AI6">
            <v>6795.9</v>
          </cell>
          <cell r="AJ6">
            <v>7434.88</v>
          </cell>
          <cell r="AK6">
            <v>7853.95</v>
          </cell>
          <cell r="AL6">
            <v>7957.04</v>
          </cell>
          <cell r="AM6">
            <v>0</v>
          </cell>
          <cell r="AO6" t="str">
            <v>15 Ü</v>
          </cell>
          <cell r="AP6">
            <v>6122.63</v>
          </cell>
          <cell r="AQ6">
            <v>6795.9</v>
          </cell>
          <cell r="AR6">
            <v>7434.88</v>
          </cell>
          <cell r="AS6">
            <v>7853.95</v>
          </cell>
          <cell r="AT6">
            <v>7957.04</v>
          </cell>
          <cell r="AU6">
            <v>0</v>
          </cell>
        </row>
        <row r="7">
          <cell r="A7">
            <v>15</v>
          </cell>
          <cell r="B7">
            <v>5017.3100000000004</v>
          </cell>
          <cell r="C7">
            <v>5394.35</v>
          </cell>
          <cell r="D7">
            <v>5593.59</v>
          </cell>
          <cell r="E7">
            <v>6301.27</v>
          </cell>
          <cell r="F7">
            <v>6837.15</v>
          </cell>
          <cell r="G7">
            <v>7042.26</v>
          </cell>
          <cell r="I7">
            <v>15</v>
          </cell>
          <cell r="J7">
            <v>5017.3100000000004</v>
          </cell>
          <cell r="K7">
            <v>5394.35</v>
          </cell>
          <cell r="L7">
            <v>5593.59</v>
          </cell>
          <cell r="M7">
            <v>6301.27</v>
          </cell>
          <cell r="N7">
            <v>6837.15</v>
          </cell>
          <cell r="O7">
            <v>7042.26</v>
          </cell>
          <cell r="Q7">
            <v>15</v>
          </cell>
          <cell r="R7">
            <v>5017.3100000000004</v>
          </cell>
          <cell r="S7">
            <v>5394.35</v>
          </cell>
          <cell r="T7">
            <v>5593.59</v>
          </cell>
          <cell r="U7">
            <v>6301.27</v>
          </cell>
          <cell r="V7">
            <v>6837.15</v>
          </cell>
          <cell r="W7">
            <v>7042.26</v>
          </cell>
          <cell r="Y7">
            <v>15</v>
          </cell>
          <cell r="Z7">
            <v>5017.3100000000004</v>
          </cell>
          <cell r="AA7">
            <v>5394.35</v>
          </cell>
          <cell r="AB7">
            <v>5593.59</v>
          </cell>
          <cell r="AC7">
            <v>6301.27</v>
          </cell>
          <cell r="AD7">
            <v>6837.15</v>
          </cell>
          <cell r="AE7">
            <v>7042.26</v>
          </cell>
          <cell r="AG7">
            <v>15</v>
          </cell>
          <cell r="AH7">
            <v>5017.3100000000004</v>
          </cell>
          <cell r="AI7">
            <v>5394.35</v>
          </cell>
          <cell r="AJ7">
            <v>5593.59</v>
          </cell>
          <cell r="AK7">
            <v>6301.27</v>
          </cell>
          <cell r="AL7">
            <v>6837.15</v>
          </cell>
          <cell r="AM7">
            <v>7042.26</v>
          </cell>
          <cell r="AO7">
            <v>15</v>
          </cell>
          <cell r="AP7">
            <v>5017.3100000000004</v>
          </cell>
          <cell r="AQ7">
            <v>5394.35</v>
          </cell>
          <cell r="AR7">
            <v>5593.59</v>
          </cell>
          <cell r="AS7">
            <v>6301.27</v>
          </cell>
          <cell r="AT7">
            <v>6837.15</v>
          </cell>
          <cell r="AU7">
            <v>7042.26</v>
          </cell>
        </row>
        <row r="8">
          <cell r="A8">
            <v>14</v>
          </cell>
          <cell r="B8">
            <v>4542.6400000000003</v>
          </cell>
          <cell r="C8">
            <v>4885.93</v>
          </cell>
          <cell r="D8">
            <v>5167.63</v>
          </cell>
          <cell r="E8">
            <v>5593.59</v>
          </cell>
          <cell r="F8">
            <v>6246.27</v>
          </cell>
          <cell r="G8">
            <v>6433.67</v>
          </cell>
          <cell r="I8">
            <v>14</v>
          </cell>
          <cell r="J8">
            <v>4542.6400000000003</v>
          </cell>
          <cell r="K8">
            <v>4885.93</v>
          </cell>
          <cell r="L8">
            <v>5167.63</v>
          </cell>
          <cell r="M8">
            <v>5593.59</v>
          </cell>
          <cell r="N8">
            <v>6246.27</v>
          </cell>
          <cell r="O8">
            <v>6433.67</v>
          </cell>
          <cell r="Q8">
            <v>14</v>
          </cell>
          <cell r="R8">
            <v>4542.6400000000003</v>
          </cell>
          <cell r="S8">
            <v>4885.93</v>
          </cell>
          <cell r="T8">
            <v>5167.63</v>
          </cell>
          <cell r="U8">
            <v>5593.59</v>
          </cell>
          <cell r="V8">
            <v>6246.27</v>
          </cell>
          <cell r="W8">
            <v>6433.67</v>
          </cell>
          <cell r="Y8">
            <v>14</v>
          </cell>
          <cell r="Z8">
            <v>4542.6400000000003</v>
          </cell>
          <cell r="AA8">
            <v>4885.93</v>
          </cell>
          <cell r="AB8">
            <v>5167.63</v>
          </cell>
          <cell r="AC8">
            <v>5593.59</v>
          </cell>
          <cell r="AD8">
            <v>6246.27</v>
          </cell>
          <cell r="AE8">
            <v>6433.67</v>
          </cell>
          <cell r="AG8">
            <v>14</v>
          </cell>
          <cell r="AH8">
            <v>4542.6400000000003</v>
          </cell>
          <cell r="AI8">
            <v>4885.93</v>
          </cell>
          <cell r="AJ8">
            <v>5167.63</v>
          </cell>
          <cell r="AK8">
            <v>5593.59</v>
          </cell>
          <cell r="AL8">
            <v>6246.27</v>
          </cell>
          <cell r="AM8">
            <v>6433.67</v>
          </cell>
          <cell r="AO8">
            <v>14</v>
          </cell>
          <cell r="AP8">
            <v>4542.6400000000003</v>
          </cell>
          <cell r="AQ8">
            <v>4885.93</v>
          </cell>
          <cell r="AR8">
            <v>5167.63</v>
          </cell>
          <cell r="AS8">
            <v>5593.59</v>
          </cell>
          <cell r="AT8">
            <v>6246.27</v>
          </cell>
          <cell r="AU8">
            <v>6433.67</v>
          </cell>
        </row>
        <row r="9">
          <cell r="A9" t="str">
            <v>13 Ü</v>
          </cell>
          <cell r="B9">
            <v>0</v>
          </cell>
          <cell r="C9">
            <v>4508.07</v>
          </cell>
          <cell r="D9">
            <v>4748.54</v>
          </cell>
          <cell r="E9">
            <v>5593.59</v>
          </cell>
          <cell r="F9">
            <v>6246.27</v>
          </cell>
          <cell r="G9">
            <v>6433.67</v>
          </cell>
          <cell r="I9" t="str">
            <v>13 Ü</v>
          </cell>
          <cell r="J9">
            <v>0</v>
          </cell>
          <cell r="K9">
            <v>4508.07</v>
          </cell>
          <cell r="L9">
            <v>4748.54</v>
          </cell>
          <cell r="M9">
            <v>5593.59</v>
          </cell>
          <cell r="N9">
            <v>6246.27</v>
          </cell>
          <cell r="O9">
            <v>6433.67</v>
          </cell>
          <cell r="Q9" t="str">
            <v>13 Ü</v>
          </cell>
          <cell r="R9">
            <v>0</v>
          </cell>
          <cell r="S9">
            <v>4508.07</v>
          </cell>
          <cell r="T9">
            <v>4748.54</v>
          </cell>
          <cell r="U9">
            <v>5593.59</v>
          </cell>
          <cell r="V9">
            <v>6246.27</v>
          </cell>
          <cell r="W9">
            <v>6433.67</v>
          </cell>
          <cell r="Y9" t="str">
            <v>13 Ü</v>
          </cell>
          <cell r="Z9">
            <v>0</v>
          </cell>
          <cell r="AA9">
            <v>4508.07</v>
          </cell>
          <cell r="AB9">
            <v>4748.54</v>
          </cell>
          <cell r="AC9">
            <v>5593.59</v>
          </cell>
          <cell r="AD9">
            <v>6246.27</v>
          </cell>
          <cell r="AE9">
            <v>6433.67</v>
          </cell>
          <cell r="AG9" t="str">
            <v>13 Ü</v>
          </cell>
          <cell r="AH9">
            <v>0</v>
          </cell>
          <cell r="AI9">
            <v>4508.07</v>
          </cell>
          <cell r="AJ9">
            <v>4748.54</v>
          </cell>
          <cell r="AK9">
            <v>5593.59</v>
          </cell>
          <cell r="AL9">
            <v>6246.27</v>
          </cell>
          <cell r="AM9">
            <v>6433.67</v>
          </cell>
          <cell r="AO9" t="str">
            <v>13 Ü</v>
          </cell>
          <cell r="AP9">
            <v>0</v>
          </cell>
          <cell r="AQ9">
            <v>4508.07</v>
          </cell>
          <cell r="AR9">
            <v>4748.54</v>
          </cell>
          <cell r="AS9">
            <v>5593.59</v>
          </cell>
          <cell r="AT9">
            <v>6246.27</v>
          </cell>
          <cell r="AU9">
            <v>6433.67</v>
          </cell>
        </row>
        <row r="10">
          <cell r="A10">
            <v>13</v>
          </cell>
          <cell r="B10">
            <v>4188.38</v>
          </cell>
          <cell r="C10">
            <v>4508.07</v>
          </cell>
          <cell r="D10">
            <v>4748.54</v>
          </cell>
          <cell r="E10">
            <v>5215.72</v>
          </cell>
          <cell r="F10">
            <v>5861.53</v>
          </cell>
          <cell r="G10">
            <v>6037.38</v>
          </cell>
          <cell r="I10">
            <v>13</v>
          </cell>
          <cell r="J10">
            <v>4188.38</v>
          </cell>
          <cell r="K10">
            <v>4508.07</v>
          </cell>
          <cell r="L10">
            <v>4748.54</v>
          </cell>
          <cell r="M10">
            <v>5215.72</v>
          </cell>
          <cell r="N10">
            <v>5861.53</v>
          </cell>
          <cell r="O10">
            <v>6037.38</v>
          </cell>
          <cell r="Q10">
            <v>13</v>
          </cell>
          <cell r="R10">
            <v>4188.38</v>
          </cell>
          <cell r="S10">
            <v>4508.07</v>
          </cell>
          <cell r="T10">
            <v>4748.54</v>
          </cell>
          <cell r="U10">
            <v>5215.72</v>
          </cell>
          <cell r="V10">
            <v>5861.53</v>
          </cell>
          <cell r="W10">
            <v>6037.38</v>
          </cell>
          <cell r="Y10">
            <v>13</v>
          </cell>
          <cell r="Z10">
            <v>4188.38</v>
          </cell>
          <cell r="AA10">
            <v>4508.07</v>
          </cell>
          <cell r="AB10">
            <v>4748.54</v>
          </cell>
          <cell r="AC10">
            <v>5215.72</v>
          </cell>
          <cell r="AD10">
            <v>5861.53</v>
          </cell>
          <cell r="AE10">
            <v>6037.38</v>
          </cell>
          <cell r="AG10">
            <v>13</v>
          </cell>
          <cell r="AH10">
            <v>4188.38</v>
          </cell>
          <cell r="AI10">
            <v>4508.07</v>
          </cell>
          <cell r="AJ10">
            <v>4748.54</v>
          </cell>
          <cell r="AK10">
            <v>5215.72</v>
          </cell>
          <cell r="AL10">
            <v>5861.53</v>
          </cell>
          <cell r="AM10">
            <v>6037.38</v>
          </cell>
          <cell r="AO10">
            <v>13</v>
          </cell>
          <cell r="AP10">
            <v>4188.38</v>
          </cell>
          <cell r="AQ10">
            <v>4508.07</v>
          </cell>
          <cell r="AR10">
            <v>4748.54</v>
          </cell>
          <cell r="AS10">
            <v>5215.72</v>
          </cell>
          <cell r="AT10">
            <v>5861.53</v>
          </cell>
          <cell r="AU10">
            <v>6037.38</v>
          </cell>
        </row>
        <row r="11">
          <cell r="A11">
            <v>12</v>
          </cell>
          <cell r="B11">
            <v>3774.86</v>
          </cell>
          <cell r="C11">
            <v>4040.88</v>
          </cell>
          <cell r="D11">
            <v>4604.26</v>
          </cell>
          <cell r="E11">
            <v>5098.93</v>
          </cell>
          <cell r="F11">
            <v>5737.87</v>
          </cell>
          <cell r="G11">
            <v>5910</v>
          </cell>
          <cell r="I11">
            <v>12</v>
          </cell>
          <cell r="J11">
            <v>3774.86</v>
          </cell>
          <cell r="K11">
            <v>4040.88</v>
          </cell>
          <cell r="L11">
            <v>4604.26</v>
          </cell>
          <cell r="M11">
            <v>5098.93</v>
          </cell>
          <cell r="N11">
            <v>5737.87</v>
          </cell>
          <cell r="O11">
            <v>5910</v>
          </cell>
          <cell r="Q11">
            <v>12</v>
          </cell>
          <cell r="R11">
            <v>3774.86</v>
          </cell>
          <cell r="S11">
            <v>4040.88</v>
          </cell>
          <cell r="T11">
            <v>4604.26</v>
          </cell>
          <cell r="U11">
            <v>5098.93</v>
          </cell>
          <cell r="V11">
            <v>5737.87</v>
          </cell>
          <cell r="W11">
            <v>5910</v>
          </cell>
          <cell r="Y11">
            <v>12</v>
          </cell>
          <cell r="Z11">
            <v>3774.86</v>
          </cell>
          <cell r="AA11">
            <v>4040.88</v>
          </cell>
          <cell r="AB11">
            <v>4604.26</v>
          </cell>
          <cell r="AC11">
            <v>5098.93</v>
          </cell>
          <cell r="AD11">
            <v>5737.87</v>
          </cell>
          <cell r="AE11">
            <v>5910</v>
          </cell>
          <cell r="AG11">
            <v>12</v>
          </cell>
          <cell r="AH11">
            <v>3774.86</v>
          </cell>
          <cell r="AI11">
            <v>4040.88</v>
          </cell>
          <cell r="AJ11">
            <v>4604.26</v>
          </cell>
          <cell r="AK11">
            <v>5098.93</v>
          </cell>
          <cell r="AL11">
            <v>5737.87</v>
          </cell>
          <cell r="AM11">
            <v>5910</v>
          </cell>
          <cell r="AO11">
            <v>12</v>
          </cell>
          <cell r="AP11">
            <v>3774.86</v>
          </cell>
          <cell r="AQ11">
            <v>4040.88</v>
          </cell>
          <cell r="AR11">
            <v>4604.26</v>
          </cell>
          <cell r="AS11">
            <v>5098.93</v>
          </cell>
          <cell r="AT11">
            <v>5737.87</v>
          </cell>
          <cell r="AU11">
            <v>5910</v>
          </cell>
        </row>
        <row r="12">
          <cell r="A12">
            <v>11</v>
          </cell>
          <cell r="B12">
            <v>3652.64</v>
          </cell>
          <cell r="C12">
            <v>3898.38</v>
          </cell>
          <cell r="D12">
            <v>4178.29</v>
          </cell>
          <cell r="E12">
            <v>4604.26</v>
          </cell>
          <cell r="F12">
            <v>5222.6000000000004</v>
          </cell>
          <cell r="G12">
            <v>5379.28</v>
          </cell>
          <cell r="I12">
            <v>11</v>
          </cell>
          <cell r="J12">
            <v>3652.64</v>
          </cell>
          <cell r="K12">
            <v>3898.38</v>
          </cell>
          <cell r="L12">
            <v>4178.29</v>
          </cell>
          <cell r="M12">
            <v>4604.26</v>
          </cell>
          <cell r="N12">
            <v>5222.6000000000004</v>
          </cell>
          <cell r="O12">
            <v>5379.28</v>
          </cell>
          <cell r="Q12">
            <v>11</v>
          </cell>
          <cell r="R12">
            <v>3652.64</v>
          </cell>
          <cell r="S12">
            <v>3898.38</v>
          </cell>
          <cell r="T12">
            <v>4178.29</v>
          </cell>
          <cell r="U12">
            <v>4604.26</v>
          </cell>
          <cell r="V12">
            <v>5222.6000000000004</v>
          </cell>
          <cell r="W12">
            <v>5379.28</v>
          </cell>
          <cell r="Y12">
            <v>11</v>
          </cell>
          <cell r="Z12">
            <v>3652.64</v>
          </cell>
          <cell r="AA12">
            <v>3898.38</v>
          </cell>
          <cell r="AB12">
            <v>4178.29</v>
          </cell>
          <cell r="AC12">
            <v>4604.26</v>
          </cell>
          <cell r="AD12">
            <v>5222.6000000000004</v>
          </cell>
          <cell r="AE12">
            <v>5379.28</v>
          </cell>
          <cell r="AG12">
            <v>11</v>
          </cell>
          <cell r="AH12">
            <v>3652.64</v>
          </cell>
          <cell r="AI12">
            <v>3898.38</v>
          </cell>
          <cell r="AJ12">
            <v>4178.29</v>
          </cell>
          <cell r="AK12">
            <v>4604.26</v>
          </cell>
          <cell r="AL12">
            <v>5222.6000000000004</v>
          </cell>
          <cell r="AM12">
            <v>5379.28</v>
          </cell>
          <cell r="AO12">
            <v>11</v>
          </cell>
          <cell r="AP12">
            <v>3652.64</v>
          </cell>
          <cell r="AQ12">
            <v>3898.38</v>
          </cell>
          <cell r="AR12">
            <v>4178.29</v>
          </cell>
          <cell r="AS12">
            <v>4604.26</v>
          </cell>
          <cell r="AT12">
            <v>5222.6000000000004</v>
          </cell>
          <cell r="AU12">
            <v>5379.28</v>
          </cell>
        </row>
        <row r="13">
          <cell r="A13">
            <v>10</v>
          </cell>
          <cell r="B13">
            <v>3523.62</v>
          </cell>
          <cell r="C13">
            <v>3764.77</v>
          </cell>
          <cell r="D13">
            <v>4040.88</v>
          </cell>
          <cell r="E13">
            <v>4322.55</v>
          </cell>
          <cell r="F13">
            <v>4858.4799999999996</v>
          </cell>
          <cell r="G13">
            <v>5004.24</v>
          </cell>
          <cell r="I13">
            <v>10</v>
          </cell>
          <cell r="J13">
            <v>3523.62</v>
          </cell>
          <cell r="K13">
            <v>3764.77</v>
          </cell>
          <cell r="L13">
            <v>4040.88</v>
          </cell>
          <cell r="M13">
            <v>4322.55</v>
          </cell>
          <cell r="N13">
            <v>4858.4799999999996</v>
          </cell>
          <cell r="O13">
            <v>5004.24</v>
          </cell>
          <cell r="Q13">
            <v>10</v>
          </cell>
          <cell r="R13">
            <v>3523.62</v>
          </cell>
          <cell r="S13">
            <v>3764.77</v>
          </cell>
          <cell r="T13">
            <v>4040.88</v>
          </cell>
          <cell r="U13">
            <v>4322.55</v>
          </cell>
          <cell r="V13">
            <v>4858.4799999999996</v>
          </cell>
          <cell r="W13">
            <v>5004.24</v>
          </cell>
          <cell r="Y13">
            <v>10</v>
          </cell>
          <cell r="Z13">
            <v>3523.62</v>
          </cell>
          <cell r="AA13">
            <v>3764.77</v>
          </cell>
          <cell r="AB13">
            <v>4040.88</v>
          </cell>
          <cell r="AC13">
            <v>4322.55</v>
          </cell>
          <cell r="AD13">
            <v>4858.4799999999996</v>
          </cell>
          <cell r="AE13">
            <v>5004.24</v>
          </cell>
          <cell r="AG13">
            <v>10</v>
          </cell>
          <cell r="AH13">
            <v>3523.62</v>
          </cell>
          <cell r="AI13">
            <v>3764.77</v>
          </cell>
          <cell r="AJ13">
            <v>4040.88</v>
          </cell>
          <cell r="AK13">
            <v>4322.55</v>
          </cell>
          <cell r="AL13">
            <v>4858.4799999999996</v>
          </cell>
          <cell r="AM13">
            <v>5004.24</v>
          </cell>
          <cell r="AO13">
            <v>10</v>
          </cell>
          <cell r="AP13">
            <v>3523.62</v>
          </cell>
          <cell r="AQ13">
            <v>3764.77</v>
          </cell>
          <cell r="AR13">
            <v>4040.88</v>
          </cell>
          <cell r="AS13">
            <v>4322.55</v>
          </cell>
          <cell r="AT13">
            <v>4858.4799999999996</v>
          </cell>
          <cell r="AU13">
            <v>5004.24</v>
          </cell>
        </row>
        <row r="14">
          <cell r="A14">
            <v>9</v>
          </cell>
          <cell r="B14">
            <v>3136.59</v>
          </cell>
          <cell r="C14">
            <v>3369.08</v>
          </cell>
          <cell r="D14">
            <v>3520.54</v>
          </cell>
          <cell r="E14">
            <v>3939.07</v>
          </cell>
          <cell r="F14">
            <v>4295.09</v>
          </cell>
          <cell r="G14">
            <v>4423.96</v>
          </cell>
          <cell r="I14">
            <v>9</v>
          </cell>
          <cell r="J14">
            <v>3136.59</v>
          </cell>
          <cell r="K14">
            <v>3369.08</v>
          </cell>
          <cell r="L14">
            <v>3520.54</v>
          </cell>
          <cell r="M14">
            <v>3939.07</v>
          </cell>
          <cell r="N14">
            <v>4295.09</v>
          </cell>
          <cell r="O14">
            <v>4423.96</v>
          </cell>
          <cell r="Q14">
            <v>9</v>
          </cell>
          <cell r="R14">
            <v>3136.59</v>
          </cell>
          <cell r="S14">
            <v>3369.08</v>
          </cell>
          <cell r="T14">
            <v>3520.54</v>
          </cell>
          <cell r="U14">
            <v>3939.07</v>
          </cell>
          <cell r="V14">
            <v>4295.09</v>
          </cell>
          <cell r="W14">
            <v>4423.96</v>
          </cell>
          <cell r="Y14">
            <v>9</v>
          </cell>
          <cell r="Z14">
            <v>3136.59</v>
          </cell>
          <cell r="AA14">
            <v>3369.08</v>
          </cell>
          <cell r="AB14">
            <v>3520.54</v>
          </cell>
          <cell r="AC14">
            <v>3939.07</v>
          </cell>
          <cell r="AD14">
            <v>4295.09</v>
          </cell>
          <cell r="AE14">
            <v>4423.96</v>
          </cell>
          <cell r="AG14">
            <v>9</v>
          </cell>
          <cell r="AH14">
            <v>3136.59</v>
          </cell>
          <cell r="AI14">
            <v>3369.08</v>
          </cell>
          <cell r="AJ14">
            <v>3520.54</v>
          </cell>
          <cell r="AK14">
            <v>3939.07</v>
          </cell>
          <cell r="AL14">
            <v>4295.09</v>
          </cell>
          <cell r="AM14">
            <v>4423.96</v>
          </cell>
          <cell r="AO14">
            <v>9</v>
          </cell>
          <cell r="AP14">
            <v>3136.59</v>
          </cell>
          <cell r="AQ14">
            <v>3369.08</v>
          </cell>
          <cell r="AR14">
            <v>3520.54</v>
          </cell>
          <cell r="AS14">
            <v>3939.07</v>
          </cell>
          <cell r="AT14">
            <v>4295.09</v>
          </cell>
          <cell r="AU14">
            <v>4423.96</v>
          </cell>
        </row>
        <row r="15">
          <cell r="A15" t="str">
            <v>9 K</v>
          </cell>
          <cell r="B15">
            <v>3136.59</v>
          </cell>
          <cell r="C15">
            <v>3369.08</v>
          </cell>
          <cell r="D15">
            <v>3419.58</v>
          </cell>
          <cell r="E15">
            <v>3520.54</v>
          </cell>
          <cell r="F15">
            <v>3939.07</v>
          </cell>
          <cell r="G15">
            <v>4055.96</v>
          </cell>
          <cell r="I15" t="str">
            <v>9 K</v>
          </cell>
          <cell r="J15">
            <v>3136.59</v>
          </cell>
          <cell r="K15">
            <v>3369.08</v>
          </cell>
          <cell r="L15">
            <v>3419.58</v>
          </cell>
          <cell r="M15">
            <v>3520.54</v>
          </cell>
          <cell r="N15">
            <v>3939.07</v>
          </cell>
          <cell r="O15">
            <v>4055.96</v>
          </cell>
          <cell r="Q15" t="str">
            <v>9 K</v>
          </cell>
          <cell r="R15">
            <v>3136.59</v>
          </cell>
          <cell r="S15">
            <v>3369.08</v>
          </cell>
          <cell r="T15">
            <v>3419.58</v>
          </cell>
          <cell r="U15">
            <v>3520.54</v>
          </cell>
          <cell r="V15">
            <v>3939.07</v>
          </cell>
          <cell r="W15">
            <v>4055.96</v>
          </cell>
          <cell r="Y15" t="str">
            <v>9 K</v>
          </cell>
          <cell r="Z15">
            <v>3136.59</v>
          </cell>
          <cell r="AA15">
            <v>3369.08</v>
          </cell>
          <cell r="AB15">
            <v>3419.58</v>
          </cell>
          <cell r="AC15">
            <v>3520.54</v>
          </cell>
          <cell r="AD15">
            <v>3939.07</v>
          </cell>
          <cell r="AE15">
            <v>4055.96</v>
          </cell>
          <cell r="AG15" t="str">
            <v>9 K</v>
          </cell>
          <cell r="AH15">
            <v>3136.59</v>
          </cell>
          <cell r="AI15">
            <v>3369.08</v>
          </cell>
          <cell r="AJ15">
            <v>3419.58</v>
          </cell>
          <cell r="AK15">
            <v>3520.54</v>
          </cell>
          <cell r="AL15">
            <v>3939.07</v>
          </cell>
          <cell r="AM15">
            <v>4055.96</v>
          </cell>
          <cell r="AO15" t="str">
            <v>9 K</v>
          </cell>
          <cell r="AP15">
            <v>3136.59</v>
          </cell>
          <cell r="AQ15">
            <v>3369.08</v>
          </cell>
          <cell r="AR15">
            <v>3419.58</v>
          </cell>
          <cell r="AS15">
            <v>3520.54</v>
          </cell>
          <cell r="AT15">
            <v>3939.07</v>
          </cell>
          <cell r="AU15">
            <v>4055.96</v>
          </cell>
        </row>
        <row r="16">
          <cell r="A16">
            <v>8</v>
          </cell>
          <cell r="B16">
            <v>2946.46</v>
          </cell>
          <cell r="C16">
            <v>3173.48</v>
          </cell>
          <cell r="D16">
            <v>3299.66</v>
          </cell>
          <cell r="E16">
            <v>3419.58</v>
          </cell>
          <cell r="F16">
            <v>3552.1</v>
          </cell>
          <cell r="G16">
            <v>3634.13</v>
          </cell>
          <cell r="I16">
            <v>8</v>
          </cell>
          <cell r="J16">
            <v>2946.46</v>
          </cell>
          <cell r="K16">
            <v>3173.48</v>
          </cell>
          <cell r="L16">
            <v>3299.66</v>
          </cell>
          <cell r="M16">
            <v>3419.58</v>
          </cell>
          <cell r="N16">
            <v>3552.1</v>
          </cell>
          <cell r="O16">
            <v>3634.13</v>
          </cell>
          <cell r="Q16">
            <v>8</v>
          </cell>
          <cell r="R16">
            <v>2946.46</v>
          </cell>
          <cell r="S16">
            <v>3173.48</v>
          </cell>
          <cell r="T16">
            <v>3299.66</v>
          </cell>
          <cell r="U16">
            <v>3419.58</v>
          </cell>
          <cell r="V16">
            <v>3552.1</v>
          </cell>
          <cell r="W16">
            <v>3634.13</v>
          </cell>
          <cell r="Y16">
            <v>8</v>
          </cell>
          <cell r="Z16">
            <v>2946.46</v>
          </cell>
          <cell r="AA16">
            <v>3173.48</v>
          </cell>
          <cell r="AB16">
            <v>3299.66</v>
          </cell>
          <cell r="AC16">
            <v>3419.58</v>
          </cell>
          <cell r="AD16">
            <v>3552.1</v>
          </cell>
          <cell r="AE16">
            <v>3634.13</v>
          </cell>
          <cell r="AG16">
            <v>8</v>
          </cell>
          <cell r="AH16">
            <v>2946.46</v>
          </cell>
          <cell r="AI16">
            <v>3173.48</v>
          </cell>
          <cell r="AJ16">
            <v>3299.66</v>
          </cell>
          <cell r="AK16">
            <v>3419.58</v>
          </cell>
          <cell r="AL16">
            <v>3552.1</v>
          </cell>
          <cell r="AM16">
            <v>3634.13</v>
          </cell>
          <cell r="AO16">
            <v>8</v>
          </cell>
          <cell r="AP16">
            <v>2946.46</v>
          </cell>
          <cell r="AQ16">
            <v>3173.48</v>
          </cell>
          <cell r="AR16">
            <v>3299.66</v>
          </cell>
          <cell r="AS16">
            <v>3419.58</v>
          </cell>
          <cell r="AT16">
            <v>3552.1</v>
          </cell>
          <cell r="AU16">
            <v>3634.13</v>
          </cell>
        </row>
        <row r="17">
          <cell r="A17">
            <v>7</v>
          </cell>
          <cell r="B17">
            <v>2772.35</v>
          </cell>
          <cell r="C17">
            <v>2994.05</v>
          </cell>
          <cell r="D17">
            <v>3160.84</v>
          </cell>
          <cell r="E17">
            <v>3287.05</v>
          </cell>
          <cell r="F17">
            <v>3388.03</v>
          </cell>
          <cell r="G17">
            <v>3476.36</v>
          </cell>
          <cell r="I17">
            <v>7</v>
          </cell>
          <cell r="J17">
            <v>2772.35</v>
          </cell>
          <cell r="K17">
            <v>2994.05</v>
          </cell>
          <cell r="L17">
            <v>3160.84</v>
          </cell>
          <cell r="M17">
            <v>3287.05</v>
          </cell>
          <cell r="N17">
            <v>3388.03</v>
          </cell>
          <cell r="O17">
            <v>3476.36</v>
          </cell>
          <cell r="Q17">
            <v>7</v>
          </cell>
          <cell r="R17">
            <v>2772.35</v>
          </cell>
          <cell r="S17">
            <v>2994.05</v>
          </cell>
          <cell r="T17">
            <v>3160.84</v>
          </cell>
          <cell r="U17">
            <v>3287.05</v>
          </cell>
          <cell r="V17">
            <v>3388.03</v>
          </cell>
          <cell r="W17">
            <v>3476.36</v>
          </cell>
          <cell r="Y17">
            <v>7</v>
          </cell>
          <cell r="Z17">
            <v>2772.35</v>
          </cell>
          <cell r="AA17">
            <v>2994.05</v>
          </cell>
          <cell r="AB17">
            <v>3160.84</v>
          </cell>
          <cell r="AC17">
            <v>3287.05</v>
          </cell>
          <cell r="AD17">
            <v>3388.03</v>
          </cell>
          <cell r="AE17">
            <v>3476.36</v>
          </cell>
          <cell r="AG17">
            <v>7</v>
          </cell>
          <cell r="AH17">
            <v>2772.35</v>
          </cell>
          <cell r="AI17">
            <v>2994.05</v>
          </cell>
          <cell r="AJ17">
            <v>3160.84</v>
          </cell>
          <cell r="AK17">
            <v>3287.05</v>
          </cell>
          <cell r="AL17">
            <v>3388.03</v>
          </cell>
          <cell r="AM17">
            <v>3476.36</v>
          </cell>
          <cell r="AO17">
            <v>7</v>
          </cell>
          <cell r="AP17">
            <v>2772.35</v>
          </cell>
          <cell r="AQ17">
            <v>2994.05</v>
          </cell>
          <cell r="AR17">
            <v>3160.84</v>
          </cell>
          <cell r="AS17">
            <v>3287.05</v>
          </cell>
          <cell r="AT17">
            <v>3388.03</v>
          </cell>
          <cell r="AU17">
            <v>3476.36</v>
          </cell>
        </row>
        <row r="18">
          <cell r="A18">
            <v>6</v>
          </cell>
          <cell r="B18">
            <v>2725.66</v>
          </cell>
          <cell r="C18">
            <v>2945.1</v>
          </cell>
          <cell r="D18">
            <v>3067.49</v>
          </cell>
          <cell r="E18">
            <v>3192.41</v>
          </cell>
          <cell r="F18">
            <v>3274.43</v>
          </cell>
          <cell r="G18">
            <v>3362.77</v>
          </cell>
          <cell r="I18">
            <v>6</v>
          </cell>
          <cell r="J18">
            <v>2725.66</v>
          </cell>
          <cell r="K18">
            <v>2945.1</v>
          </cell>
          <cell r="L18">
            <v>3067.49</v>
          </cell>
          <cell r="M18">
            <v>3192.41</v>
          </cell>
          <cell r="N18">
            <v>3274.43</v>
          </cell>
          <cell r="O18">
            <v>3362.77</v>
          </cell>
          <cell r="Q18">
            <v>6</v>
          </cell>
          <cell r="R18">
            <v>2725.66</v>
          </cell>
          <cell r="S18">
            <v>2945.1</v>
          </cell>
          <cell r="T18">
            <v>3067.49</v>
          </cell>
          <cell r="U18">
            <v>3192.41</v>
          </cell>
          <cell r="V18">
            <v>3274.43</v>
          </cell>
          <cell r="W18">
            <v>3362.77</v>
          </cell>
          <cell r="Y18">
            <v>6</v>
          </cell>
          <cell r="Z18">
            <v>2725.66</v>
          </cell>
          <cell r="AA18">
            <v>2945.1</v>
          </cell>
          <cell r="AB18">
            <v>3067.49</v>
          </cell>
          <cell r="AC18">
            <v>3192.41</v>
          </cell>
          <cell r="AD18">
            <v>3274.43</v>
          </cell>
          <cell r="AE18">
            <v>3362.77</v>
          </cell>
          <cell r="AG18">
            <v>6</v>
          </cell>
          <cell r="AH18">
            <v>2725.66</v>
          </cell>
          <cell r="AI18">
            <v>2945.1</v>
          </cell>
          <cell r="AJ18">
            <v>3067.49</v>
          </cell>
          <cell r="AK18">
            <v>3192.41</v>
          </cell>
          <cell r="AL18">
            <v>3274.43</v>
          </cell>
          <cell r="AM18">
            <v>3362.77</v>
          </cell>
          <cell r="AO18">
            <v>6</v>
          </cell>
          <cell r="AP18">
            <v>2725.66</v>
          </cell>
          <cell r="AQ18">
            <v>2945.1</v>
          </cell>
          <cell r="AR18">
            <v>3067.49</v>
          </cell>
          <cell r="AS18">
            <v>3192.41</v>
          </cell>
          <cell r="AT18">
            <v>3274.43</v>
          </cell>
          <cell r="AU18">
            <v>3362.77</v>
          </cell>
        </row>
        <row r="19">
          <cell r="A19">
            <v>5</v>
          </cell>
          <cell r="B19">
            <v>2618.9299999999998</v>
          </cell>
          <cell r="C19">
            <v>2834.95</v>
          </cell>
          <cell r="D19">
            <v>2957.34</v>
          </cell>
          <cell r="E19">
            <v>3073.61</v>
          </cell>
          <cell r="F19">
            <v>3167.15</v>
          </cell>
          <cell r="G19">
            <v>3230.26</v>
          </cell>
          <cell r="I19">
            <v>5</v>
          </cell>
          <cell r="J19">
            <v>2618.9299999999998</v>
          </cell>
          <cell r="K19">
            <v>2834.95</v>
          </cell>
          <cell r="L19">
            <v>2957.34</v>
          </cell>
          <cell r="M19">
            <v>3073.61</v>
          </cell>
          <cell r="N19">
            <v>3167.15</v>
          </cell>
          <cell r="O19">
            <v>3230.26</v>
          </cell>
          <cell r="Q19">
            <v>5</v>
          </cell>
          <cell r="R19">
            <v>2618.9299999999998</v>
          </cell>
          <cell r="S19">
            <v>2834.95</v>
          </cell>
          <cell r="T19">
            <v>2957.34</v>
          </cell>
          <cell r="U19">
            <v>3073.61</v>
          </cell>
          <cell r="V19">
            <v>3167.15</v>
          </cell>
          <cell r="W19">
            <v>3230.26</v>
          </cell>
          <cell r="Y19">
            <v>5</v>
          </cell>
          <cell r="Z19">
            <v>2618.9299999999998</v>
          </cell>
          <cell r="AA19">
            <v>2834.95</v>
          </cell>
          <cell r="AB19">
            <v>2957.34</v>
          </cell>
          <cell r="AC19">
            <v>3073.61</v>
          </cell>
          <cell r="AD19">
            <v>3167.15</v>
          </cell>
          <cell r="AE19">
            <v>3230.26</v>
          </cell>
          <cell r="AG19">
            <v>5</v>
          </cell>
          <cell r="AH19">
            <v>2618.9299999999998</v>
          </cell>
          <cell r="AI19">
            <v>2834.95</v>
          </cell>
          <cell r="AJ19">
            <v>2957.34</v>
          </cell>
          <cell r="AK19">
            <v>3073.61</v>
          </cell>
          <cell r="AL19">
            <v>3167.15</v>
          </cell>
          <cell r="AM19">
            <v>3230.26</v>
          </cell>
          <cell r="AO19">
            <v>5</v>
          </cell>
          <cell r="AP19">
            <v>2618.9299999999998</v>
          </cell>
          <cell r="AQ19">
            <v>2834.95</v>
          </cell>
          <cell r="AR19">
            <v>2957.34</v>
          </cell>
          <cell r="AS19">
            <v>3073.61</v>
          </cell>
          <cell r="AT19">
            <v>3167.15</v>
          </cell>
          <cell r="AU19">
            <v>3230.26</v>
          </cell>
        </row>
        <row r="20">
          <cell r="A20">
            <v>4</v>
          </cell>
          <cell r="B20">
            <v>2500.6999999999998</v>
          </cell>
          <cell r="C20">
            <v>2718.69</v>
          </cell>
          <cell r="D20">
            <v>2871.67</v>
          </cell>
          <cell r="E20">
            <v>2957.34</v>
          </cell>
          <cell r="F20">
            <v>3043.02</v>
          </cell>
          <cell r="G20">
            <v>3098.08</v>
          </cell>
          <cell r="I20">
            <v>4</v>
          </cell>
          <cell r="J20">
            <v>2500.6999999999998</v>
          </cell>
          <cell r="K20">
            <v>2718.69</v>
          </cell>
          <cell r="L20">
            <v>2871.67</v>
          </cell>
          <cell r="M20">
            <v>2957.34</v>
          </cell>
          <cell r="N20">
            <v>3043.02</v>
          </cell>
          <cell r="O20">
            <v>3098.08</v>
          </cell>
          <cell r="Q20">
            <v>4</v>
          </cell>
          <cell r="R20">
            <v>2500.6999999999998</v>
          </cell>
          <cell r="S20">
            <v>2718.69</v>
          </cell>
          <cell r="T20">
            <v>2871.67</v>
          </cell>
          <cell r="U20">
            <v>2957.34</v>
          </cell>
          <cell r="V20">
            <v>3043.02</v>
          </cell>
          <cell r="W20">
            <v>3098.08</v>
          </cell>
          <cell r="Y20">
            <v>4</v>
          </cell>
          <cell r="Z20">
            <v>2500.6999999999998</v>
          </cell>
          <cell r="AA20">
            <v>2718.69</v>
          </cell>
          <cell r="AB20">
            <v>2871.67</v>
          </cell>
          <cell r="AC20">
            <v>2957.34</v>
          </cell>
          <cell r="AD20">
            <v>3043.02</v>
          </cell>
          <cell r="AE20">
            <v>3098.08</v>
          </cell>
          <cell r="AG20">
            <v>4</v>
          </cell>
          <cell r="AH20">
            <v>2500.6999999999998</v>
          </cell>
          <cell r="AI20">
            <v>2718.69</v>
          </cell>
          <cell r="AJ20">
            <v>2871.67</v>
          </cell>
          <cell r="AK20">
            <v>2957.34</v>
          </cell>
          <cell r="AL20">
            <v>3043.02</v>
          </cell>
          <cell r="AM20">
            <v>3098.08</v>
          </cell>
          <cell r="AO20">
            <v>4</v>
          </cell>
          <cell r="AP20">
            <v>2500.6999999999998</v>
          </cell>
          <cell r="AQ20">
            <v>2718.69</v>
          </cell>
          <cell r="AR20">
            <v>2871.67</v>
          </cell>
          <cell r="AS20">
            <v>2957.34</v>
          </cell>
          <cell r="AT20">
            <v>3043.02</v>
          </cell>
          <cell r="AU20">
            <v>3098.08</v>
          </cell>
        </row>
        <row r="21">
          <cell r="A21">
            <v>3</v>
          </cell>
          <cell r="B21">
            <v>2468.79</v>
          </cell>
          <cell r="C21">
            <v>2681.96</v>
          </cell>
          <cell r="D21">
            <v>2743.16</v>
          </cell>
          <cell r="E21">
            <v>2841.06</v>
          </cell>
          <cell r="F21">
            <v>2920.62</v>
          </cell>
          <cell r="G21">
            <v>2987.93</v>
          </cell>
          <cell r="I21">
            <v>3</v>
          </cell>
          <cell r="J21">
            <v>2468.79</v>
          </cell>
          <cell r="K21">
            <v>2681.96</v>
          </cell>
          <cell r="L21">
            <v>2743.16</v>
          </cell>
          <cell r="M21">
            <v>2841.06</v>
          </cell>
          <cell r="N21">
            <v>2920.62</v>
          </cell>
          <cell r="O21">
            <v>2987.93</v>
          </cell>
          <cell r="Q21">
            <v>3</v>
          </cell>
          <cell r="R21">
            <v>2468.79</v>
          </cell>
          <cell r="S21">
            <v>2681.96</v>
          </cell>
          <cell r="T21">
            <v>2743.16</v>
          </cell>
          <cell r="U21">
            <v>2841.06</v>
          </cell>
          <cell r="V21">
            <v>2920.62</v>
          </cell>
          <cell r="W21">
            <v>2987.93</v>
          </cell>
          <cell r="Y21">
            <v>3</v>
          </cell>
          <cell r="Z21">
            <v>2468.79</v>
          </cell>
          <cell r="AA21">
            <v>2681.96</v>
          </cell>
          <cell r="AB21">
            <v>2743.16</v>
          </cell>
          <cell r="AC21">
            <v>2841.06</v>
          </cell>
          <cell r="AD21">
            <v>2920.62</v>
          </cell>
          <cell r="AE21">
            <v>2987.93</v>
          </cell>
          <cell r="AG21">
            <v>3</v>
          </cell>
          <cell r="AH21">
            <v>2468.79</v>
          </cell>
          <cell r="AI21">
            <v>2681.96</v>
          </cell>
          <cell r="AJ21">
            <v>2743.16</v>
          </cell>
          <cell r="AK21">
            <v>2841.06</v>
          </cell>
          <cell r="AL21">
            <v>2920.62</v>
          </cell>
          <cell r="AM21">
            <v>2987.93</v>
          </cell>
          <cell r="AO21">
            <v>3</v>
          </cell>
          <cell r="AP21">
            <v>2468.79</v>
          </cell>
          <cell r="AQ21">
            <v>2681.96</v>
          </cell>
          <cell r="AR21">
            <v>2743.16</v>
          </cell>
          <cell r="AS21">
            <v>2841.06</v>
          </cell>
          <cell r="AT21">
            <v>2920.62</v>
          </cell>
          <cell r="AU21">
            <v>2987.93</v>
          </cell>
        </row>
        <row r="22">
          <cell r="A22" t="str">
            <v>2 Ü</v>
          </cell>
          <cell r="B22">
            <v>2369.86</v>
          </cell>
          <cell r="C22">
            <v>2577.9299999999998</v>
          </cell>
          <cell r="D22">
            <v>2657.48</v>
          </cell>
          <cell r="E22">
            <v>2755.41</v>
          </cell>
          <cell r="F22">
            <v>2822.72</v>
          </cell>
          <cell r="G22">
            <v>2914.51</v>
          </cell>
          <cell r="I22" t="str">
            <v>2 Ü</v>
          </cell>
          <cell r="J22">
            <v>2369.86</v>
          </cell>
          <cell r="K22">
            <v>2577.9299999999998</v>
          </cell>
          <cell r="L22">
            <v>2657.48</v>
          </cell>
          <cell r="M22">
            <v>2755.41</v>
          </cell>
          <cell r="N22">
            <v>2822.72</v>
          </cell>
          <cell r="O22">
            <v>2914.51</v>
          </cell>
          <cell r="Q22" t="str">
            <v>2 Ü</v>
          </cell>
          <cell r="R22">
            <v>2369.86</v>
          </cell>
          <cell r="S22">
            <v>2577.9299999999998</v>
          </cell>
          <cell r="T22">
            <v>2657.48</v>
          </cell>
          <cell r="U22">
            <v>2755.41</v>
          </cell>
          <cell r="V22">
            <v>2822.72</v>
          </cell>
          <cell r="W22">
            <v>2914.51</v>
          </cell>
          <cell r="Y22" t="str">
            <v>2 Ü</v>
          </cell>
          <cell r="Z22">
            <v>2369.86</v>
          </cell>
          <cell r="AA22">
            <v>2577.9299999999998</v>
          </cell>
          <cell r="AB22">
            <v>2657.48</v>
          </cell>
          <cell r="AC22">
            <v>2755.41</v>
          </cell>
          <cell r="AD22">
            <v>2822.72</v>
          </cell>
          <cell r="AE22">
            <v>2914.51</v>
          </cell>
          <cell r="AG22" t="str">
            <v>2 Ü</v>
          </cell>
          <cell r="AH22">
            <v>2369.86</v>
          </cell>
          <cell r="AI22">
            <v>2577.9299999999998</v>
          </cell>
          <cell r="AJ22">
            <v>2657.48</v>
          </cell>
          <cell r="AK22">
            <v>2755.41</v>
          </cell>
          <cell r="AL22">
            <v>2822.72</v>
          </cell>
          <cell r="AM22">
            <v>2914.51</v>
          </cell>
          <cell r="AO22" t="str">
            <v>2 Ü</v>
          </cell>
          <cell r="AP22">
            <v>2369.86</v>
          </cell>
          <cell r="AQ22">
            <v>2577.9299999999998</v>
          </cell>
          <cell r="AR22">
            <v>2657.48</v>
          </cell>
          <cell r="AS22">
            <v>2755.41</v>
          </cell>
          <cell r="AT22">
            <v>2822.72</v>
          </cell>
          <cell r="AU22">
            <v>2914.51</v>
          </cell>
        </row>
        <row r="23">
          <cell r="A23">
            <v>2</v>
          </cell>
          <cell r="B23">
            <v>2302.84</v>
          </cell>
          <cell r="C23">
            <v>2504.4899999999998</v>
          </cell>
          <cell r="D23">
            <v>2565.69</v>
          </cell>
          <cell r="E23">
            <v>2626.88</v>
          </cell>
          <cell r="F23">
            <v>2767.62</v>
          </cell>
          <cell r="G23">
            <v>2914.51</v>
          </cell>
          <cell r="I23">
            <v>2</v>
          </cell>
          <cell r="J23">
            <v>2302.84</v>
          </cell>
          <cell r="K23">
            <v>2504.4899999999998</v>
          </cell>
          <cell r="L23">
            <v>2565.69</v>
          </cell>
          <cell r="M23">
            <v>2626.88</v>
          </cell>
          <cell r="N23">
            <v>2767.62</v>
          </cell>
          <cell r="O23">
            <v>2914.51</v>
          </cell>
          <cell r="Q23">
            <v>2</v>
          </cell>
          <cell r="R23">
            <v>2302.84</v>
          </cell>
          <cell r="S23">
            <v>2504.4899999999998</v>
          </cell>
          <cell r="T23">
            <v>2565.69</v>
          </cell>
          <cell r="U23">
            <v>2626.88</v>
          </cell>
          <cell r="V23">
            <v>2767.62</v>
          </cell>
          <cell r="W23">
            <v>2914.51</v>
          </cell>
          <cell r="Y23">
            <v>2</v>
          </cell>
          <cell r="Z23">
            <v>2302.84</v>
          </cell>
          <cell r="AA23">
            <v>2504.4899999999998</v>
          </cell>
          <cell r="AB23">
            <v>2565.69</v>
          </cell>
          <cell r="AC23">
            <v>2626.88</v>
          </cell>
          <cell r="AD23">
            <v>2767.62</v>
          </cell>
          <cell r="AE23">
            <v>2914.51</v>
          </cell>
          <cell r="AG23">
            <v>2</v>
          </cell>
          <cell r="AH23">
            <v>2302.84</v>
          </cell>
          <cell r="AI23">
            <v>2504.4899999999998</v>
          </cell>
          <cell r="AJ23">
            <v>2565.69</v>
          </cell>
          <cell r="AK23">
            <v>2626.88</v>
          </cell>
          <cell r="AL23">
            <v>2767.62</v>
          </cell>
          <cell r="AM23">
            <v>2914.51</v>
          </cell>
          <cell r="AO23">
            <v>2</v>
          </cell>
          <cell r="AP23">
            <v>2302.84</v>
          </cell>
          <cell r="AQ23">
            <v>2504.4899999999998</v>
          </cell>
          <cell r="AR23">
            <v>2565.69</v>
          </cell>
          <cell r="AS23">
            <v>2626.88</v>
          </cell>
          <cell r="AT23">
            <v>2767.62</v>
          </cell>
          <cell r="AU23">
            <v>2914.51</v>
          </cell>
        </row>
        <row r="24">
          <cell r="A24">
            <v>1</v>
          </cell>
          <cell r="B24">
            <v>0</v>
          </cell>
          <cell r="C24">
            <v>2094.4899999999998</v>
          </cell>
          <cell r="D24">
            <v>2125.06</v>
          </cell>
          <cell r="E24">
            <v>2161.7800000000002</v>
          </cell>
          <cell r="F24">
            <v>2198.5100000000002</v>
          </cell>
          <cell r="G24">
            <v>2290.3000000000002</v>
          </cell>
          <cell r="I24">
            <v>1</v>
          </cell>
          <cell r="J24">
            <v>0</v>
          </cell>
          <cell r="K24">
            <v>2094.4899999999998</v>
          </cell>
          <cell r="L24">
            <v>2125.06</v>
          </cell>
          <cell r="M24">
            <v>2161.7800000000002</v>
          </cell>
          <cell r="N24">
            <v>2198.5100000000002</v>
          </cell>
          <cell r="O24">
            <v>2290.3000000000002</v>
          </cell>
          <cell r="Q24">
            <v>1</v>
          </cell>
          <cell r="R24">
            <v>0</v>
          </cell>
          <cell r="S24">
            <v>2094.4899999999998</v>
          </cell>
          <cell r="T24">
            <v>2125.06</v>
          </cell>
          <cell r="U24">
            <v>2161.7800000000002</v>
          </cell>
          <cell r="V24">
            <v>2198.5100000000002</v>
          </cell>
          <cell r="W24">
            <v>2290.3000000000002</v>
          </cell>
          <cell r="Y24">
            <v>1</v>
          </cell>
          <cell r="Z24">
            <v>0</v>
          </cell>
          <cell r="AA24">
            <v>2094.4899999999998</v>
          </cell>
          <cell r="AB24">
            <v>2125.06</v>
          </cell>
          <cell r="AC24">
            <v>2161.7800000000002</v>
          </cell>
          <cell r="AD24">
            <v>2198.5100000000002</v>
          </cell>
          <cell r="AE24">
            <v>2290.3000000000002</v>
          </cell>
          <cell r="AG24">
            <v>1</v>
          </cell>
          <cell r="AH24">
            <v>0</v>
          </cell>
          <cell r="AI24">
            <v>2094.4899999999998</v>
          </cell>
          <cell r="AJ24">
            <v>2125.06</v>
          </cell>
          <cell r="AK24">
            <v>2161.7800000000002</v>
          </cell>
          <cell r="AL24">
            <v>2198.5100000000002</v>
          </cell>
          <cell r="AM24">
            <v>2290.3000000000002</v>
          </cell>
          <cell r="AO24">
            <v>1</v>
          </cell>
          <cell r="AP24">
            <v>0</v>
          </cell>
          <cell r="AQ24">
            <v>2094.4899999999998</v>
          </cell>
          <cell r="AR24">
            <v>2125.06</v>
          </cell>
          <cell r="AS24">
            <v>2161.7800000000002</v>
          </cell>
          <cell r="AT24">
            <v>2198.5100000000002</v>
          </cell>
          <cell r="AU24">
            <v>2290.3000000000002</v>
          </cell>
        </row>
      </sheetData>
      <sheetData sheetId="11">
        <row r="3">
          <cell r="B3">
            <v>1</v>
          </cell>
          <cell r="C3">
            <v>2</v>
          </cell>
          <cell r="D3">
            <v>3</v>
          </cell>
          <cell r="E3">
            <v>4</v>
          </cell>
          <cell r="F3">
            <v>5</v>
          </cell>
          <cell r="G3">
            <v>6</v>
          </cell>
          <cell r="J3">
            <v>1</v>
          </cell>
          <cell r="K3">
            <v>2</v>
          </cell>
          <cell r="L3">
            <v>3</v>
          </cell>
          <cell r="M3">
            <v>4</v>
          </cell>
          <cell r="N3">
            <v>5</v>
          </cell>
          <cell r="O3">
            <v>6</v>
          </cell>
          <cell r="R3">
            <v>1</v>
          </cell>
          <cell r="S3">
            <v>2</v>
          </cell>
          <cell r="T3">
            <v>3</v>
          </cell>
          <cell r="U3">
            <v>4</v>
          </cell>
          <cell r="V3">
            <v>5</v>
          </cell>
          <cell r="W3">
            <v>6</v>
          </cell>
          <cell r="Z3">
            <v>1</v>
          </cell>
          <cell r="AA3">
            <v>2</v>
          </cell>
          <cell r="AB3">
            <v>3</v>
          </cell>
          <cell r="AC3">
            <v>4</v>
          </cell>
          <cell r="AD3">
            <v>5</v>
          </cell>
          <cell r="AE3">
            <v>6</v>
          </cell>
          <cell r="AH3">
            <v>1</v>
          </cell>
          <cell r="AI3">
            <v>2</v>
          </cell>
          <cell r="AJ3">
            <v>3</v>
          </cell>
          <cell r="AK3">
            <v>4</v>
          </cell>
          <cell r="AL3">
            <v>5</v>
          </cell>
          <cell r="AM3">
            <v>6</v>
          </cell>
          <cell r="AP3">
            <v>1</v>
          </cell>
          <cell r="AQ3">
            <v>2</v>
          </cell>
          <cell r="AR3">
            <v>3</v>
          </cell>
          <cell r="AS3">
            <v>4</v>
          </cell>
          <cell r="AT3">
            <v>5</v>
          </cell>
          <cell r="AU3">
            <v>6</v>
          </cell>
        </row>
        <row r="4">
          <cell r="A4" t="str">
            <v>15 Ü</v>
          </cell>
          <cell r="B4">
            <v>0.32529999999999998</v>
          </cell>
          <cell r="C4">
            <v>0.32529999999999998</v>
          </cell>
          <cell r="D4">
            <v>0.32529999999999998</v>
          </cell>
          <cell r="E4">
            <v>0.32529999999999998</v>
          </cell>
          <cell r="F4">
            <v>0.32529999999999998</v>
          </cell>
          <cell r="G4">
            <v>0.32529999999999998</v>
          </cell>
          <cell r="I4" t="str">
            <v>15 Ü</v>
          </cell>
          <cell r="J4">
            <v>0.32529999999999998</v>
          </cell>
          <cell r="K4">
            <v>0.32529999999999998</v>
          </cell>
          <cell r="L4">
            <v>0.32529999999999998</v>
          </cell>
          <cell r="M4">
            <v>0.32529999999999998</v>
          </cell>
          <cell r="N4">
            <v>0.32529999999999998</v>
          </cell>
          <cell r="O4">
            <v>0.32529999999999998</v>
          </cell>
          <cell r="Q4" t="str">
            <v>15 Ü</v>
          </cell>
          <cell r="R4">
            <v>0.32529999999999998</v>
          </cell>
          <cell r="S4">
            <v>0.32529999999999998</v>
          </cell>
          <cell r="T4">
            <v>0.32529999999999998</v>
          </cell>
          <cell r="U4">
            <v>0.32529999999999998</v>
          </cell>
          <cell r="V4">
            <v>0.32529999999999998</v>
          </cell>
          <cell r="W4">
            <v>0.32529999999999998</v>
          </cell>
          <cell r="Y4" t="str">
            <v>15 Ü</v>
          </cell>
          <cell r="Z4">
            <v>0.32529999999999998</v>
          </cell>
          <cell r="AA4">
            <v>0.32529999999999998</v>
          </cell>
          <cell r="AB4">
            <v>0.32529999999999998</v>
          </cell>
          <cell r="AC4">
            <v>0.32529999999999998</v>
          </cell>
          <cell r="AD4">
            <v>0.32529999999999998</v>
          </cell>
          <cell r="AE4">
            <v>0.32529999999999998</v>
          </cell>
          <cell r="AG4" t="str">
            <v>15 Ü</v>
          </cell>
          <cell r="AH4">
            <v>0.32529999999999998</v>
          </cell>
          <cell r="AI4">
            <v>0.32529999999999998</v>
          </cell>
          <cell r="AJ4">
            <v>0.32529999999999998</v>
          </cell>
          <cell r="AK4">
            <v>0.32529999999999998</v>
          </cell>
          <cell r="AL4">
            <v>0.32529999999999998</v>
          </cell>
          <cell r="AM4">
            <v>0.32529999999999998</v>
          </cell>
          <cell r="AO4" t="str">
            <v>15 Ü</v>
          </cell>
          <cell r="AP4">
            <v>0.32529999999999998</v>
          </cell>
          <cell r="AQ4">
            <v>0.32529999999999998</v>
          </cell>
          <cell r="AR4">
            <v>0.32529999999999998</v>
          </cell>
          <cell r="AS4">
            <v>0.32529999999999998</v>
          </cell>
          <cell r="AT4">
            <v>0.32529999999999998</v>
          </cell>
          <cell r="AU4">
            <v>0.32529999999999998</v>
          </cell>
        </row>
        <row r="5">
          <cell r="A5">
            <v>15</v>
          </cell>
          <cell r="B5">
            <v>0.32529999999999998</v>
          </cell>
          <cell r="C5">
            <v>0.32529999999999998</v>
          </cell>
          <cell r="D5">
            <v>0.32529999999999998</v>
          </cell>
          <cell r="E5">
            <v>0.32529999999999998</v>
          </cell>
          <cell r="F5">
            <v>0.32529999999999998</v>
          </cell>
          <cell r="G5">
            <v>0.32529999999999998</v>
          </cell>
          <cell r="I5">
            <v>15</v>
          </cell>
          <cell r="J5">
            <v>0.32529999999999998</v>
          </cell>
          <cell r="K5">
            <v>0.32529999999999998</v>
          </cell>
          <cell r="L5">
            <v>0.32529999999999998</v>
          </cell>
          <cell r="M5">
            <v>0.32529999999999998</v>
          </cell>
          <cell r="N5">
            <v>0.32529999999999998</v>
          </cell>
          <cell r="O5">
            <v>0.32529999999999998</v>
          </cell>
          <cell r="Q5">
            <v>15</v>
          </cell>
          <cell r="R5">
            <v>0.32529999999999998</v>
          </cell>
          <cell r="S5">
            <v>0.32529999999999998</v>
          </cell>
          <cell r="T5">
            <v>0.32529999999999998</v>
          </cell>
          <cell r="U5">
            <v>0.32529999999999998</v>
          </cell>
          <cell r="V5">
            <v>0.32529999999999998</v>
          </cell>
          <cell r="W5">
            <v>0.32529999999999998</v>
          </cell>
          <cell r="Y5">
            <v>15</v>
          </cell>
          <cell r="Z5">
            <v>0.32529999999999998</v>
          </cell>
          <cell r="AA5">
            <v>0.32529999999999998</v>
          </cell>
          <cell r="AB5">
            <v>0.32529999999999998</v>
          </cell>
          <cell r="AC5">
            <v>0.32529999999999998</v>
          </cell>
          <cell r="AD5">
            <v>0.32529999999999998</v>
          </cell>
          <cell r="AE5">
            <v>0.32529999999999998</v>
          </cell>
          <cell r="AG5">
            <v>15</v>
          </cell>
          <cell r="AH5">
            <v>0.32529999999999998</v>
          </cell>
          <cell r="AI5">
            <v>0.32529999999999998</v>
          </cell>
          <cell r="AJ5">
            <v>0.32529999999999998</v>
          </cell>
          <cell r="AK5">
            <v>0.32529999999999998</v>
          </cell>
          <cell r="AL5">
            <v>0.32529999999999998</v>
          </cell>
          <cell r="AM5">
            <v>0.32529999999999998</v>
          </cell>
          <cell r="AO5">
            <v>15</v>
          </cell>
          <cell r="AP5">
            <v>0.32529999999999998</v>
          </cell>
          <cell r="AQ5">
            <v>0.32529999999999998</v>
          </cell>
          <cell r="AR5">
            <v>0.32529999999999998</v>
          </cell>
          <cell r="AS5">
            <v>0.32529999999999998</v>
          </cell>
          <cell r="AT5">
            <v>0.32529999999999998</v>
          </cell>
          <cell r="AU5">
            <v>0.32529999999999998</v>
          </cell>
        </row>
        <row r="6">
          <cell r="A6">
            <v>14</v>
          </cell>
          <cell r="B6">
            <v>0.32529999999999998</v>
          </cell>
          <cell r="C6">
            <v>0.32529999999999998</v>
          </cell>
          <cell r="D6">
            <v>0.32529999999999998</v>
          </cell>
          <cell r="E6">
            <v>0.32529999999999998</v>
          </cell>
          <cell r="F6">
            <v>0.32529999999999998</v>
          </cell>
          <cell r="G6">
            <v>0.32529999999999998</v>
          </cell>
          <cell r="I6">
            <v>14</v>
          </cell>
          <cell r="J6">
            <v>0.32529999999999998</v>
          </cell>
          <cell r="K6">
            <v>0.32529999999999998</v>
          </cell>
          <cell r="L6">
            <v>0.32529999999999998</v>
          </cell>
          <cell r="M6">
            <v>0.32529999999999998</v>
          </cell>
          <cell r="N6">
            <v>0.32529999999999998</v>
          </cell>
          <cell r="O6">
            <v>0.32529999999999998</v>
          </cell>
          <cell r="Q6">
            <v>14</v>
          </cell>
          <cell r="R6">
            <v>0.32529999999999998</v>
          </cell>
          <cell r="S6">
            <v>0.32529999999999998</v>
          </cell>
          <cell r="T6">
            <v>0.32529999999999998</v>
          </cell>
          <cell r="U6">
            <v>0.32529999999999998</v>
          </cell>
          <cell r="V6">
            <v>0.32529999999999998</v>
          </cell>
          <cell r="W6">
            <v>0.32529999999999998</v>
          </cell>
          <cell r="Y6">
            <v>14</v>
          </cell>
          <cell r="Z6">
            <v>0.32529999999999998</v>
          </cell>
          <cell r="AA6">
            <v>0.32529999999999998</v>
          </cell>
          <cell r="AB6">
            <v>0.32529999999999998</v>
          </cell>
          <cell r="AC6">
            <v>0.32529999999999998</v>
          </cell>
          <cell r="AD6">
            <v>0.32529999999999998</v>
          </cell>
          <cell r="AE6">
            <v>0.32529999999999998</v>
          </cell>
          <cell r="AG6">
            <v>14</v>
          </cell>
          <cell r="AH6">
            <v>0.32529999999999998</v>
          </cell>
          <cell r="AI6">
            <v>0.32529999999999998</v>
          </cell>
          <cell r="AJ6">
            <v>0.32529999999999998</v>
          </cell>
          <cell r="AK6">
            <v>0.32529999999999998</v>
          </cell>
          <cell r="AL6">
            <v>0.32529999999999998</v>
          </cell>
          <cell r="AM6">
            <v>0.32529999999999998</v>
          </cell>
          <cell r="AO6">
            <v>14</v>
          </cell>
          <cell r="AP6">
            <v>0.32529999999999998</v>
          </cell>
          <cell r="AQ6">
            <v>0.32529999999999998</v>
          </cell>
          <cell r="AR6">
            <v>0.32529999999999998</v>
          </cell>
          <cell r="AS6">
            <v>0.32529999999999998</v>
          </cell>
          <cell r="AT6">
            <v>0.32529999999999998</v>
          </cell>
          <cell r="AU6">
            <v>0.32529999999999998</v>
          </cell>
        </row>
        <row r="7">
          <cell r="A7" t="str">
            <v>13 Ü</v>
          </cell>
          <cell r="B7">
            <v>0</v>
          </cell>
          <cell r="C7">
            <v>0.4647</v>
          </cell>
          <cell r="D7">
            <v>0.4647</v>
          </cell>
          <cell r="E7">
            <v>0.32529999999999998</v>
          </cell>
          <cell r="F7">
            <v>0.32529999999999998</v>
          </cell>
          <cell r="G7">
            <v>0.32529999999999998</v>
          </cell>
          <cell r="I7" t="str">
            <v>13 Ü</v>
          </cell>
          <cell r="J7">
            <v>0</v>
          </cell>
          <cell r="K7">
            <v>0.4647</v>
          </cell>
          <cell r="L7">
            <v>0.4647</v>
          </cell>
          <cell r="M7">
            <v>0.32529999999999998</v>
          </cell>
          <cell r="N7">
            <v>0.32529999999999998</v>
          </cell>
          <cell r="O7">
            <v>0.32529999999999998</v>
          </cell>
          <cell r="Q7" t="str">
            <v>13 Ü</v>
          </cell>
          <cell r="R7">
            <v>0</v>
          </cell>
          <cell r="S7">
            <v>0.4647</v>
          </cell>
          <cell r="T7">
            <v>0.4647</v>
          </cell>
          <cell r="U7">
            <v>0.32529999999999998</v>
          </cell>
          <cell r="V7">
            <v>0.32529999999999998</v>
          </cell>
          <cell r="W7">
            <v>0.32529999999999998</v>
          </cell>
          <cell r="Y7" t="str">
            <v>13 Ü</v>
          </cell>
          <cell r="Z7">
            <v>0</v>
          </cell>
          <cell r="AA7">
            <v>0.4647</v>
          </cell>
          <cell r="AB7">
            <v>0.4647</v>
          </cell>
          <cell r="AC7">
            <v>0.32529999999999998</v>
          </cell>
          <cell r="AD7">
            <v>0.32529999999999998</v>
          </cell>
          <cell r="AE7">
            <v>0.32529999999999998</v>
          </cell>
          <cell r="AG7" t="str">
            <v>13 Ü</v>
          </cell>
          <cell r="AH7">
            <v>0</v>
          </cell>
          <cell r="AI7">
            <v>0.4647</v>
          </cell>
          <cell r="AJ7">
            <v>0.4647</v>
          </cell>
          <cell r="AK7">
            <v>0.32529999999999998</v>
          </cell>
          <cell r="AL7">
            <v>0.32529999999999998</v>
          </cell>
          <cell r="AM7">
            <v>0.32529999999999998</v>
          </cell>
          <cell r="AO7" t="str">
            <v>13 Ü</v>
          </cell>
          <cell r="AP7">
            <v>0</v>
          </cell>
          <cell r="AQ7">
            <v>0.4647</v>
          </cell>
          <cell r="AR7">
            <v>0.4647</v>
          </cell>
          <cell r="AS7">
            <v>0.32529999999999998</v>
          </cell>
          <cell r="AT7">
            <v>0.32529999999999998</v>
          </cell>
          <cell r="AU7">
            <v>0.32529999999999998</v>
          </cell>
        </row>
        <row r="8">
          <cell r="A8">
            <v>13</v>
          </cell>
          <cell r="B8">
            <v>0.4647</v>
          </cell>
          <cell r="C8">
            <v>0.4647</v>
          </cell>
          <cell r="D8">
            <v>0.4647</v>
          </cell>
          <cell r="E8">
            <v>0.4647</v>
          </cell>
          <cell r="F8">
            <v>0.4647</v>
          </cell>
          <cell r="G8">
            <v>0.4647</v>
          </cell>
          <cell r="I8">
            <v>13</v>
          </cell>
          <cell r="J8">
            <v>0.4647</v>
          </cell>
          <cell r="K8">
            <v>0.4647</v>
          </cell>
          <cell r="L8">
            <v>0.4647</v>
          </cell>
          <cell r="M8">
            <v>0.4647</v>
          </cell>
          <cell r="N8">
            <v>0.4647</v>
          </cell>
          <cell r="O8">
            <v>0.4647</v>
          </cell>
          <cell r="Q8">
            <v>13</v>
          </cell>
          <cell r="R8">
            <v>0.4647</v>
          </cell>
          <cell r="S8">
            <v>0.4647</v>
          </cell>
          <cell r="T8">
            <v>0.4647</v>
          </cell>
          <cell r="U8">
            <v>0.4647</v>
          </cell>
          <cell r="V8">
            <v>0.4647</v>
          </cell>
          <cell r="W8">
            <v>0.4647</v>
          </cell>
          <cell r="Y8">
            <v>13</v>
          </cell>
          <cell r="Z8">
            <v>0.4647</v>
          </cell>
          <cell r="AA8">
            <v>0.4647</v>
          </cell>
          <cell r="AB8">
            <v>0.4647</v>
          </cell>
          <cell r="AC8">
            <v>0.4647</v>
          </cell>
          <cell r="AD8">
            <v>0.4647</v>
          </cell>
          <cell r="AE8">
            <v>0.4647</v>
          </cell>
          <cell r="AG8">
            <v>13</v>
          </cell>
          <cell r="AH8">
            <v>0.4647</v>
          </cell>
          <cell r="AI8">
            <v>0.4647</v>
          </cell>
          <cell r="AJ8">
            <v>0.4647</v>
          </cell>
          <cell r="AK8">
            <v>0.4647</v>
          </cell>
          <cell r="AL8">
            <v>0.4647</v>
          </cell>
          <cell r="AM8">
            <v>0.4647</v>
          </cell>
          <cell r="AO8">
            <v>13</v>
          </cell>
          <cell r="AP8">
            <v>0.4647</v>
          </cell>
          <cell r="AQ8">
            <v>0.4647</v>
          </cell>
          <cell r="AR8">
            <v>0.4647</v>
          </cell>
          <cell r="AS8">
            <v>0.4647</v>
          </cell>
          <cell r="AT8">
            <v>0.4647</v>
          </cell>
          <cell r="AU8">
            <v>0.4647</v>
          </cell>
        </row>
        <row r="9">
          <cell r="A9">
            <v>12</v>
          </cell>
          <cell r="B9">
            <v>0.4647</v>
          </cell>
          <cell r="C9">
            <v>0.4647</v>
          </cell>
          <cell r="D9">
            <v>0.4647</v>
          </cell>
          <cell r="E9">
            <v>0.4647</v>
          </cell>
          <cell r="F9">
            <v>0.4647</v>
          </cell>
          <cell r="G9">
            <v>0.4647</v>
          </cell>
          <cell r="I9">
            <v>12</v>
          </cell>
          <cell r="J9">
            <v>0.4647</v>
          </cell>
          <cell r="K9">
            <v>0.4647</v>
          </cell>
          <cell r="L9">
            <v>0.4647</v>
          </cell>
          <cell r="M9">
            <v>0.4647</v>
          </cell>
          <cell r="N9">
            <v>0.4647</v>
          </cell>
          <cell r="O9">
            <v>0.4647</v>
          </cell>
          <cell r="Q9">
            <v>12</v>
          </cell>
          <cell r="R9">
            <v>0.4647</v>
          </cell>
          <cell r="S9">
            <v>0.4647</v>
          </cell>
          <cell r="T9">
            <v>0.4647</v>
          </cell>
          <cell r="U9">
            <v>0.4647</v>
          </cell>
          <cell r="V9">
            <v>0.4647</v>
          </cell>
          <cell r="W9">
            <v>0.4647</v>
          </cell>
          <cell r="Y9">
            <v>12</v>
          </cell>
          <cell r="Z9">
            <v>0.4647</v>
          </cell>
          <cell r="AA9">
            <v>0.4647</v>
          </cell>
          <cell r="AB9">
            <v>0.4647</v>
          </cell>
          <cell r="AC9">
            <v>0.4647</v>
          </cell>
          <cell r="AD9">
            <v>0.4647</v>
          </cell>
          <cell r="AE9">
            <v>0.4647</v>
          </cell>
          <cell r="AG9">
            <v>12</v>
          </cell>
          <cell r="AH9">
            <v>0.4647</v>
          </cell>
          <cell r="AI9">
            <v>0.4647</v>
          </cell>
          <cell r="AJ9">
            <v>0.4647</v>
          </cell>
          <cell r="AK9">
            <v>0.4647</v>
          </cell>
          <cell r="AL9">
            <v>0.4647</v>
          </cell>
          <cell r="AM9">
            <v>0.4647</v>
          </cell>
          <cell r="AO9">
            <v>12</v>
          </cell>
          <cell r="AP9">
            <v>0.4647</v>
          </cell>
          <cell r="AQ9">
            <v>0.4647</v>
          </cell>
          <cell r="AR9">
            <v>0.4647</v>
          </cell>
          <cell r="AS9">
            <v>0.4647</v>
          </cell>
          <cell r="AT9">
            <v>0.4647</v>
          </cell>
          <cell r="AU9">
            <v>0.4647</v>
          </cell>
        </row>
        <row r="10">
          <cell r="A10">
            <v>11</v>
          </cell>
          <cell r="B10">
            <v>0.74350000000000005</v>
          </cell>
          <cell r="C10">
            <v>0.74350000000000005</v>
          </cell>
          <cell r="D10">
            <v>0.74350000000000005</v>
          </cell>
          <cell r="E10">
            <v>0.74350000000000005</v>
          </cell>
          <cell r="F10">
            <v>0.74350000000000005</v>
          </cell>
          <cell r="G10">
            <v>0.74350000000000005</v>
          </cell>
          <cell r="I10">
            <v>11</v>
          </cell>
          <cell r="J10">
            <v>0.74350000000000005</v>
          </cell>
          <cell r="K10">
            <v>0.74350000000000005</v>
          </cell>
          <cell r="L10">
            <v>0.74350000000000005</v>
          </cell>
          <cell r="M10">
            <v>0.74350000000000005</v>
          </cell>
          <cell r="N10">
            <v>0.74350000000000005</v>
          </cell>
          <cell r="O10">
            <v>0.74350000000000005</v>
          </cell>
          <cell r="Q10">
            <v>11</v>
          </cell>
          <cell r="R10">
            <v>0.74350000000000005</v>
          </cell>
          <cell r="S10">
            <v>0.74350000000000005</v>
          </cell>
          <cell r="T10">
            <v>0.74350000000000005</v>
          </cell>
          <cell r="U10">
            <v>0.74350000000000005</v>
          </cell>
          <cell r="V10">
            <v>0.74350000000000005</v>
          </cell>
          <cell r="W10">
            <v>0.74350000000000005</v>
          </cell>
          <cell r="Y10">
            <v>11</v>
          </cell>
          <cell r="Z10">
            <v>0.74350000000000005</v>
          </cell>
          <cell r="AA10">
            <v>0.74350000000000005</v>
          </cell>
          <cell r="AB10">
            <v>0.74350000000000005</v>
          </cell>
          <cell r="AC10">
            <v>0.74350000000000005</v>
          </cell>
          <cell r="AD10">
            <v>0.74350000000000005</v>
          </cell>
          <cell r="AE10">
            <v>0.74350000000000005</v>
          </cell>
          <cell r="AG10">
            <v>11</v>
          </cell>
          <cell r="AH10">
            <v>0.74350000000000005</v>
          </cell>
          <cell r="AI10">
            <v>0.74350000000000005</v>
          </cell>
          <cell r="AJ10">
            <v>0.74350000000000005</v>
          </cell>
          <cell r="AK10">
            <v>0.74350000000000005</v>
          </cell>
          <cell r="AL10">
            <v>0.74350000000000005</v>
          </cell>
          <cell r="AM10">
            <v>0.74350000000000005</v>
          </cell>
          <cell r="AO10">
            <v>11</v>
          </cell>
          <cell r="AP10">
            <v>0.74350000000000005</v>
          </cell>
          <cell r="AQ10">
            <v>0.74350000000000005</v>
          </cell>
          <cell r="AR10">
            <v>0.74350000000000005</v>
          </cell>
          <cell r="AS10">
            <v>0.74350000000000005</v>
          </cell>
          <cell r="AT10">
            <v>0.74350000000000005</v>
          </cell>
          <cell r="AU10">
            <v>0.74350000000000005</v>
          </cell>
        </row>
        <row r="11">
          <cell r="A11">
            <v>10</v>
          </cell>
          <cell r="B11">
            <v>0.74350000000000005</v>
          </cell>
          <cell r="C11">
            <v>0.74350000000000005</v>
          </cell>
          <cell r="D11">
            <v>0.74350000000000005</v>
          </cell>
          <cell r="E11">
            <v>0.74350000000000005</v>
          </cell>
          <cell r="F11">
            <v>0.74350000000000005</v>
          </cell>
          <cell r="G11">
            <v>0.74350000000000005</v>
          </cell>
          <cell r="I11">
            <v>10</v>
          </cell>
          <cell r="J11">
            <v>0.74350000000000005</v>
          </cell>
          <cell r="K11">
            <v>0.74350000000000005</v>
          </cell>
          <cell r="L11">
            <v>0.74350000000000005</v>
          </cell>
          <cell r="M11">
            <v>0.74350000000000005</v>
          </cell>
          <cell r="N11">
            <v>0.74350000000000005</v>
          </cell>
          <cell r="O11">
            <v>0.74350000000000005</v>
          </cell>
          <cell r="Q11">
            <v>10</v>
          </cell>
          <cell r="R11">
            <v>0.74350000000000005</v>
          </cell>
          <cell r="S11">
            <v>0.74350000000000005</v>
          </cell>
          <cell r="T11">
            <v>0.74350000000000005</v>
          </cell>
          <cell r="U11">
            <v>0.74350000000000005</v>
          </cell>
          <cell r="V11">
            <v>0.74350000000000005</v>
          </cell>
          <cell r="W11">
            <v>0.74350000000000005</v>
          </cell>
          <cell r="Y11">
            <v>10</v>
          </cell>
          <cell r="Z11">
            <v>0.74350000000000005</v>
          </cell>
          <cell r="AA11">
            <v>0.74350000000000005</v>
          </cell>
          <cell r="AB11">
            <v>0.74350000000000005</v>
          </cell>
          <cell r="AC11">
            <v>0.74350000000000005</v>
          </cell>
          <cell r="AD11">
            <v>0.74350000000000005</v>
          </cell>
          <cell r="AE11">
            <v>0.74350000000000005</v>
          </cell>
          <cell r="AG11">
            <v>10</v>
          </cell>
          <cell r="AH11">
            <v>0.74350000000000005</v>
          </cell>
          <cell r="AI11">
            <v>0.74350000000000005</v>
          </cell>
          <cell r="AJ11">
            <v>0.74350000000000005</v>
          </cell>
          <cell r="AK11">
            <v>0.74350000000000005</v>
          </cell>
          <cell r="AL11">
            <v>0.74350000000000005</v>
          </cell>
          <cell r="AM11">
            <v>0.74350000000000005</v>
          </cell>
          <cell r="AO11">
            <v>10</v>
          </cell>
          <cell r="AP11">
            <v>0.74350000000000005</v>
          </cell>
          <cell r="AQ11">
            <v>0.74350000000000005</v>
          </cell>
          <cell r="AR11">
            <v>0.74350000000000005</v>
          </cell>
          <cell r="AS11">
            <v>0.74350000000000005</v>
          </cell>
          <cell r="AT11">
            <v>0.74350000000000005</v>
          </cell>
          <cell r="AU11">
            <v>0.74350000000000005</v>
          </cell>
        </row>
        <row r="12">
          <cell r="A12" t="str">
            <v>9 K</v>
          </cell>
          <cell r="B12">
            <v>0.74350000000000005</v>
          </cell>
          <cell r="C12">
            <v>0.74350000000000005</v>
          </cell>
          <cell r="D12">
            <v>0.74350000000000005</v>
          </cell>
          <cell r="E12">
            <v>0.74350000000000005</v>
          </cell>
          <cell r="F12">
            <v>0.74350000000000005</v>
          </cell>
          <cell r="G12">
            <v>0.74350000000000005</v>
          </cell>
          <cell r="I12" t="str">
            <v>9 K</v>
          </cell>
          <cell r="J12">
            <v>0.74350000000000005</v>
          </cell>
          <cell r="K12">
            <v>0.74350000000000005</v>
          </cell>
          <cell r="L12">
            <v>0.74350000000000005</v>
          </cell>
          <cell r="M12">
            <v>0.74350000000000005</v>
          </cell>
          <cell r="N12">
            <v>0.74350000000000005</v>
          </cell>
          <cell r="O12">
            <v>0.74350000000000005</v>
          </cell>
          <cell r="Q12" t="str">
            <v>9 K</v>
          </cell>
          <cell r="R12">
            <v>0.74350000000000005</v>
          </cell>
          <cell r="S12">
            <v>0.74350000000000005</v>
          </cell>
          <cell r="T12">
            <v>0.74350000000000005</v>
          </cell>
          <cell r="U12">
            <v>0.74350000000000005</v>
          </cell>
          <cell r="V12">
            <v>0.74350000000000005</v>
          </cell>
          <cell r="W12">
            <v>0.74350000000000005</v>
          </cell>
          <cell r="Y12" t="str">
            <v>9 K</v>
          </cell>
          <cell r="Z12">
            <v>0.74350000000000005</v>
          </cell>
          <cell r="AA12">
            <v>0.74350000000000005</v>
          </cell>
          <cell r="AB12">
            <v>0.74350000000000005</v>
          </cell>
          <cell r="AC12">
            <v>0.74350000000000005</v>
          </cell>
          <cell r="AD12">
            <v>0.74350000000000005</v>
          </cell>
          <cell r="AE12">
            <v>0.74350000000000005</v>
          </cell>
          <cell r="AG12" t="str">
            <v>9 K</v>
          </cell>
          <cell r="AH12">
            <v>0.74350000000000005</v>
          </cell>
          <cell r="AI12">
            <v>0.74350000000000005</v>
          </cell>
          <cell r="AJ12">
            <v>0.74350000000000005</v>
          </cell>
          <cell r="AK12">
            <v>0.74350000000000005</v>
          </cell>
          <cell r="AL12">
            <v>0.74350000000000005</v>
          </cell>
          <cell r="AM12">
            <v>0.74350000000000005</v>
          </cell>
          <cell r="AO12" t="str">
            <v>9 K</v>
          </cell>
          <cell r="AP12">
            <v>0.74350000000000005</v>
          </cell>
          <cell r="AQ12">
            <v>0.74350000000000005</v>
          </cell>
          <cell r="AR12">
            <v>0.74350000000000005</v>
          </cell>
          <cell r="AS12">
            <v>0.74350000000000005</v>
          </cell>
          <cell r="AT12">
            <v>0.74350000000000005</v>
          </cell>
          <cell r="AU12">
            <v>0.74350000000000005</v>
          </cell>
        </row>
        <row r="13">
          <cell r="A13">
            <v>9</v>
          </cell>
          <cell r="B13">
            <v>0.74350000000000005</v>
          </cell>
          <cell r="C13">
            <v>0.74350000000000005</v>
          </cell>
          <cell r="D13">
            <v>0.74350000000000005</v>
          </cell>
          <cell r="E13">
            <v>0.74350000000000005</v>
          </cell>
          <cell r="F13">
            <v>0.74350000000000005</v>
          </cell>
          <cell r="G13">
            <v>0.74350000000000005</v>
          </cell>
          <cell r="I13">
            <v>9</v>
          </cell>
          <cell r="J13">
            <v>0.74350000000000005</v>
          </cell>
          <cell r="K13">
            <v>0.74350000000000005</v>
          </cell>
          <cell r="L13">
            <v>0.74350000000000005</v>
          </cell>
          <cell r="M13">
            <v>0.74350000000000005</v>
          </cell>
          <cell r="N13">
            <v>0.74350000000000005</v>
          </cell>
          <cell r="O13">
            <v>0.74350000000000005</v>
          </cell>
          <cell r="Q13">
            <v>9</v>
          </cell>
          <cell r="R13">
            <v>0.74350000000000005</v>
          </cell>
          <cell r="S13">
            <v>0.74350000000000005</v>
          </cell>
          <cell r="T13">
            <v>0.74350000000000005</v>
          </cell>
          <cell r="U13">
            <v>0.74350000000000005</v>
          </cell>
          <cell r="V13">
            <v>0.74350000000000005</v>
          </cell>
          <cell r="W13">
            <v>0.74350000000000005</v>
          </cell>
          <cell r="Y13">
            <v>9</v>
          </cell>
          <cell r="Z13">
            <v>0.74350000000000005</v>
          </cell>
          <cell r="AA13">
            <v>0.74350000000000005</v>
          </cell>
          <cell r="AB13">
            <v>0.74350000000000005</v>
          </cell>
          <cell r="AC13">
            <v>0.74350000000000005</v>
          </cell>
          <cell r="AD13">
            <v>0.74350000000000005</v>
          </cell>
          <cell r="AE13">
            <v>0.74350000000000005</v>
          </cell>
          <cell r="AG13">
            <v>9</v>
          </cell>
          <cell r="AH13">
            <v>0.74350000000000005</v>
          </cell>
          <cell r="AI13">
            <v>0.74350000000000005</v>
          </cell>
          <cell r="AJ13">
            <v>0.74350000000000005</v>
          </cell>
          <cell r="AK13">
            <v>0.74350000000000005</v>
          </cell>
          <cell r="AL13">
            <v>0.74350000000000005</v>
          </cell>
          <cell r="AM13">
            <v>0.74350000000000005</v>
          </cell>
          <cell r="AO13">
            <v>9</v>
          </cell>
          <cell r="AP13">
            <v>0.74350000000000005</v>
          </cell>
          <cell r="AQ13">
            <v>0.74350000000000005</v>
          </cell>
          <cell r="AR13">
            <v>0.74350000000000005</v>
          </cell>
          <cell r="AS13">
            <v>0.74350000000000005</v>
          </cell>
          <cell r="AT13">
            <v>0.74350000000000005</v>
          </cell>
          <cell r="AU13">
            <v>0.74350000000000005</v>
          </cell>
        </row>
        <row r="14">
          <cell r="A14">
            <v>8</v>
          </cell>
          <cell r="B14">
            <v>0.88139999999999996</v>
          </cell>
          <cell r="C14">
            <v>0.88139999999999996</v>
          </cell>
          <cell r="D14">
            <v>0.88139999999999996</v>
          </cell>
          <cell r="E14">
            <v>0.88139999999999996</v>
          </cell>
          <cell r="F14">
            <v>0.88139999999999996</v>
          </cell>
          <cell r="G14">
            <v>0.88139999999999996</v>
          </cell>
          <cell r="I14">
            <v>8</v>
          </cell>
          <cell r="J14">
            <v>0.88139999999999996</v>
          </cell>
          <cell r="K14">
            <v>0.88139999999999996</v>
          </cell>
          <cell r="L14">
            <v>0.88139999999999996</v>
          </cell>
          <cell r="M14">
            <v>0.88139999999999996</v>
          </cell>
          <cell r="N14">
            <v>0.88139999999999996</v>
          </cell>
          <cell r="O14">
            <v>0.88139999999999996</v>
          </cell>
          <cell r="Q14">
            <v>8</v>
          </cell>
          <cell r="R14">
            <v>0.88139999999999996</v>
          </cell>
          <cell r="S14">
            <v>0.88139999999999996</v>
          </cell>
          <cell r="T14">
            <v>0.88139999999999996</v>
          </cell>
          <cell r="U14">
            <v>0.88139999999999996</v>
          </cell>
          <cell r="V14">
            <v>0.88139999999999996</v>
          </cell>
          <cell r="W14">
            <v>0.88139999999999996</v>
          </cell>
          <cell r="Y14">
            <v>8</v>
          </cell>
          <cell r="Z14">
            <v>0.88139999999999996</v>
          </cell>
          <cell r="AA14">
            <v>0.88139999999999996</v>
          </cell>
          <cell r="AB14">
            <v>0.88139999999999996</v>
          </cell>
          <cell r="AC14">
            <v>0.88139999999999996</v>
          </cell>
          <cell r="AD14">
            <v>0.88139999999999996</v>
          </cell>
          <cell r="AE14">
            <v>0.88139999999999996</v>
          </cell>
          <cell r="AG14">
            <v>8</v>
          </cell>
          <cell r="AH14">
            <v>0.88139999999999996</v>
          </cell>
          <cell r="AI14">
            <v>0.88139999999999996</v>
          </cell>
          <cell r="AJ14">
            <v>0.88139999999999996</v>
          </cell>
          <cell r="AK14">
            <v>0.88139999999999996</v>
          </cell>
          <cell r="AL14">
            <v>0.88139999999999996</v>
          </cell>
          <cell r="AM14">
            <v>0.88139999999999996</v>
          </cell>
          <cell r="AO14">
            <v>8</v>
          </cell>
          <cell r="AP14">
            <v>0.88139999999999996</v>
          </cell>
          <cell r="AQ14">
            <v>0.88139999999999996</v>
          </cell>
          <cell r="AR14">
            <v>0.88139999999999996</v>
          </cell>
          <cell r="AS14">
            <v>0.88139999999999996</v>
          </cell>
          <cell r="AT14">
            <v>0.88139999999999996</v>
          </cell>
          <cell r="AU14">
            <v>0.88139999999999996</v>
          </cell>
        </row>
        <row r="15">
          <cell r="A15">
            <v>7</v>
          </cell>
          <cell r="B15">
            <v>0.88139999999999996</v>
          </cell>
          <cell r="C15">
            <v>0.88139999999999996</v>
          </cell>
          <cell r="D15">
            <v>0.88139999999999996</v>
          </cell>
          <cell r="E15">
            <v>0.88139999999999996</v>
          </cell>
          <cell r="F15">
            <v>0.88139999999999996</v>
          </cell>
          <cell r="G15">
            <v>0.88139999999999996</v>
          </cell>
          <cell r="I15">
            <v>7</v>
          </cell>
          <cell r="J15">
            <v>0.88139999999999996</v>
          </cell>
          <cell r="K15">
            <v>0.88139999999999996</v>
          </cell>
          <cell r="L15">
            <v>0.88139999999999996</v>
          </cell>
          <cell r="M15">
            <v>0.88139999999999996</v>
          </cell>
          <cell r="N15">
            <v>0.88139999999999996</v>
          </cell>
          <cell r="O15">
            <v>0.88139999999999996</v>
          </cell>
          <cell r="Q15">
            <v>7</v>
          </cell>
          <cell r="R15">
            <v>0.88139999999999996</v>
          </cell>
          <cell r="S15">
            <v>0.88139999999999996</v>
          </cell>
          <cell r="T15">
            <v>0.88139999999999996</v>
          </cell>
          <cell r="U15">
            <v>0.88139999999999996</v>
          </cell>
          <cell r="V15">
            <v>0.88139999999999996</v>
          </cell>
          <cell r="W15">
            <v>0.88139999999999996</v>
          </cell>
          <cell r="Y15">
            <v>7</v>
          </cell>
          <cell r="Z15">
            <v>0.88139999999999996</v>
          </cell>
          <cell r="AA15">
            <v>0.88139999999999996</v>
          </cell>
          <cell r="AB15">
            <v>0.88139999999999996</v>
          </cell>
          <cell r="AC15">
            <v>0.88139999999999996</v>
          </cell>
          <cell r="AD15">
            <v>0.88139999999999996</v>
          </cell>
          <cell r="AE15">
            <v>0.88139999999999996</v>
          </cell>
          <cell r="AG15">
            <v>7</v>
          </cell>
          <cell r="AH15">
            <v>0.88139999999999996</v>
          </cell>
          <cell r="AI15">
            <v>0.88139999999999996</v>
          </cell>
          <cell r="AJ15">
            <v>0.88139999999999996</v>
          </cell>
          <cell r="AK15">
            <v>0.88139999999999996</v>
          </cell>
          <cell r="AL15">
            <v>0.88139999999999996</v>
          </cell>
          <cell r="AM15">
            <v>0.88139999999999996</v>
          </cell>
          <cell r="AO15">
            <v>7</v>
          </cell>
          <cell r="AP15">
            <v>0.88139999999999996</v>
          </cell>
          <cell r="AQ15">
            <v>0.88139999999999996</v>
          </cell>
          <cell r="AR15">
            <v>0.88139999999999996</v>
          </cell>
          <cell r="AS15">
            <v>0.88139999999999996</v>
          </cell>
          <cell r="AT15">
            <v>0.88139999999999996</v>
          </cell>
          <cell r="AU15">
            <v>0.88139999999999996</v>
          </cell>
        </row>
        <row r="16">
          <cell r="A16">
            <v>6</v>
          </cell>
          <cell r="B16">
            <v>0.88139999999999996</v>
          </cell>
          <cell r="C16">
            <v>0.88139999999999996</v>
          </cell>
          <cell r="D16">
            <v>0.88139999999999996</v>
          </cell>
          <cell r="E16">
            <v>0.88139999999999996</v>
          </cell>
          <cell r="F16">
            <v>0.88139999999999996</v>
          </cell>
          <cell r="G16">
            <v>0.88139999999999996</v>
          </cell>
          <cell r="I16">
            <v>6</v>
          </cell>
          <cell r="J16">
            <v>0.88139999999999996</v>
          </cell>
          <cell r="K16">
            <v>0.88139999999999996</v>
          </cell>
          <cell r="L16">
            <v>0.88139999999999996</v>
          </cell>
          <cell r="M16">
            <v>0.88139999999999996</v>
          </cell>
          <cell r="N16">
            <v>0.88139999999999996</v>
          </cell>
          <cell r="O16">
            <v>0.88139999999999996</v>
          </cell>
          <cell r="Q16">
            <v>6</v>
          </cell>
          <cell r="R16">
            <v>0.88139999999999996</v>
          </cell>
          <cell r="S16">
            <v>0.88139999999999996</v>
          </cell>
          <cell r="T16">
            <v>0.88139999999999996</v>
          </cell>
          <cell r="U16">
            <v>0.88139999999999996</v>
          </cell>
          <cell r="V16">
            <v>0.88139999999999996</v>
          </cell>
          <cell r="W16">
            <v>0.88139999999999996</v>
          </cell>
          <cell r="Y16">
            <v>6</v>
          </cell>
          <cell r="Z16">
            <v>0.88139999999999996</v>
          </cell>
          <cell r="AA16">
            <v>0.88139999999999996</v>
          </cell>
          <cell r="AB16">
            <v>0.88139999999999996</v>
          </cell>
          <cell r="AC16">
            <v>0.88139999999999996</v>
          </cell>
          <cell r="AD16">
            <v>0.88139999999999996</v>
          </cell>
          <cell r="AE16">
            <v>0.88139999999999996</v>
          </cell>
          <cell r="AG16">
            <v>6</v>
          </cell>
          <cell r="AH16">
            <v>0.88139999999999996</v>
          </cell>
          <cell r="AI16">
            <v>0.88139999999999996</v>
          </cell>
          <cell r="AJ16">
            <v>0.88139999999999996</v>
          </cell>
          <cell r="AK16">
            <v>0.88139999999999996</v>
          </cell>
          <cell r="AL16">
            <v>0.88139999999999996</v>
          </cell>
          <cell r="AM16">
            <v>0.88139999999999996</v>
          </cell>
          <cell r="AO16">
            <v>6</v>
          </cell>
          <cell r="AP16">
            <v>0.88139999999999996</v>
          </cell>
          <cell r="AQ16">
            <v>0.88139999999999996</v>
          </cell>
          <cell r="AR16">
            <v>0.88139999999999996</v>
          </cell>
          <cell r="AS16">
            <v>0.88139999999999996</v>
          </cell>
          <cell r="AT16">
            <v>0.88139999999999996</v>
          </cell>
          <cell r="AU16">
            <v>0.88139999999999996</v>
          </cell>
        </row>
        <row r="17">
          <cell r="A17">
            <v>5</v>
          </cell>
          <cell r="B17">
            <v>0.88139999999999996</v>
          </cell>
          <cell r="C17">
            <v>0.88139999999999996</v>
          </cell>
          <cell r="D17">
            <v>0.88139999999999996</v>
          </cell>
          <cell r="E17">
            <v>0.88139999999999996</v>
          </cell>
          <cell r="F17">
            <v>0.88139999999999996</v>
          </cell>
          <cell r="G17">
            <v>0.88139999999999996</v>
          </cell>
          <cell r="I17">
            <v>5</v>
          </cell>
          <cell r="J17">
            <v>0.88139999999999996</v>
          </cell>
          <cell r="K17">
            <v>0.88139999999999996</v>
          </cell>
          <cell r="L17">
            <v>0.88139999999999996</v>
          </cell>
          <cell r="M17">
            <v>0.88139999999999996</v>
          </cell>
          <cell r="N17">
            <v>0.88139999999999996</v>
          </cell>
          <cell r="O17">
            <v>0.88139999999999996</v>
          </cell>
          <cell r="Q17">
            <v>5</v>
          </cell>
          <cell r="R17">
            <v>0.88139999999999996</v>
          </cell>
          <cell r="S17">
            <v>0.88139999999999996</v>
          </cell>
          <cell r="T17">
            <v>0.88139999999999996</v>
          </cell>
          <cell r="U17">
            <v>0.88139999999999996</v>
          </cell>
          <cell r="V17">
            <v>0.88139999999999996</v>
          </cell>
          <cell r="W17">
            <v>0.88139999999999996</v>
          </cell>
          <cell r="Y17">
            <v>5</v>
          </cell>
          <cell r="Z17">
            <v>0.88139999999999996</v>
          </cell>
          <cell r="AA17">
            <v>0.88139999999999996</v>
          </cell>
          <cell r="AB17">
            <v>0.88139999999999996</v>
          </cell>
          <cell r="AC17">
            <v>0.88139999999999996</v>
          </cell>
          <cell r="AD17">
            <v>0.88139999999999996</v>
          </cell>
          <cell r="AE17">
            <v>0.88139999999999996</v>
          </cell>
          <cell r="AG17">
            <v>5</v>
          </cell>
          <cell r="AH17">
            <v>0.88139999999999996</v>
          </cell>
          <cell r="AI17">
            <v>0.88139999999999996</v>
          </cell>
          <cell r="AJ17">
            <v>0.88139999999999996</v>
          </cell>
          <cell r="AK17">
            <v>0.88139999999999996</v>
          </cell>
          <cell r="AL17">
            <v>0.88139999999999996</v>
          </cell>
          <cell r="AM17">
            <v>0.88139999999999996</v>
          </cell>
          <cell r="AO17">
            <v>5</v>
          </cell>
          <cell r="AP17">
            <v>0.88139999999999996</v>
          </cell>
          <cell r="AQ17">
            <v>0.88139999999999996</v>
          </cell>
          <cell r="AR17">
            <v>0.88139999999999996</v>
          </cell>
          <cell r="AS17">
            <v>0.88139999999999996</v>
          </cell>
          <cell r="AT17">
            <v>0.88139999999999996</v>
          </cell>
          <cell r="AU17">
            <v>0.88139999999999996</v>
          </cell>
        </row>
        <row r="18">
          <cell r="A18">
            <v>4</v>
          </cell>
          <cell r="B18">
            <v>0.87429999999999997</v>
          </cell>
          <cell r="C18">
            <v>0.87429999999999997</v>
          </cell>
          <cell r="D18">
            <v>0.87429999999999997</v>
          </cell>
          <cell r="E18">
            <v>0.87429999999999997</v>
          </cell>
          <cell r="F18">
            <v>0.87429999999999997</v>
          </cell>
          <cell r="G18">
            <v>0.87429999999999997</v>
          </cell>
          <cell r="I18">
            <v>4</v>
          </cell>
          <cell r="J18">
            <v>0.87429999999999997</v>
          </cell>
          <cell r="K18">
            <v>0.87429999999999997</v>
          </cell>
          <cell r="L18">
            <v>0.87429999999999997</v>
          </cell>
          <cell r="M18">
            <v>0.87429999999999997</v>
          </cell>
          <cell r="N18">
            <v>0.87429999999999997</v>
          </cell>
          <cell r="O18">
            <v>0.87429999999999997</v>
          </cell>
          <cell r="Q18">
            <v>4</v>
          </cell>
          <cell r="R18">
            <v>0.87429999999999997</v>
          </cell>
          <cell r="S18">
            <v>0.87429999999999997</v>
          </cell>
          <cell r="T18">
            <v>0.87429999999999997</v>
          </cell>
          <cell r="U18">
            <v>0.87429999999999997</v>
          </cell>
          <cell r="V18">
            <v>0.87429999999999997</v>
          </cell>
          <cell r="W18">
            <v>0.87429999999999997</v>
          </cell>
          <cell r="Y18">
            <v>4</v>
          </cell>
          <cell r="Z18">
            <v>0.87429999999999997</v>
          </cell>
          <cell r="AA18">
            <v>0.87429999999999997</v>
          </cell>
          <cell r="AB18">
            <v>0.87429999999999997</v>
          </cell>
          <cell r="AC18">
            <v>0.87429999999999997</v>
          </cell>
          <cell r="AD18">
            <v>0.87429999999999997</v>
          </cell>
          <cell r="AE18">
            <v>0.87429999999999997</v>
          </cell>
          <cell r="AG18">
            <v>4</v>
          </cell>
          <cell r="AH18">
            <v>0.87429999999999997</v>
          </cell>
          <cell r="AI18">
            <v>0.87429999999999997</v>
          </cell>
          <cell r="AJ18">
            <v>0.87429999999999997</v>
          </cell>
          <cell r="AK18">
            <v>0.87429999999999997</v>
          </cell>
          <cell r="AL18">
            <v>0.87429999999999997</v>
          </cell>
          <cell r="AM18">
            <v>0.87429999999999997</v>
          </cell>
          <cell r="AO18">
            <v>4</v>
          </cell>
          <cell r="AP18">
            <v>0.87429999999999997</v>
          </cell>
          <cell r="AQ18">
            <v>0.87429999999999997</v>
          </cell>
          <cell r="AR18">
            <v>0.87429999999999997</v>
          </cell>
          <cell r="AS18">
            <v>0.87429999999999997</v>
          </cell>
          <cell r="AT18">
            <v>0.87429999999999997</v>
          </cell>
          <cell r="AU18">
            <v>0.87429999999999997</v>
          </cell>
        </row>
        <row r="19">
          <cell r="A19">
            <v>3</v>
          </cell>
          <cell r="B19">
            <v>0.87429999999999997</v>
          </cell>
          <cell r="C19">
            <v>0.87429999999999997</v>
          </cell>
          <cell r="D19">
            <v>0.87429999999999997</v>
          </cell>
          <cell r="E19">
            <v>0.87429999999999997</v>
          </cell>
          <cell r="F19">
            <v>0.87429999999999997</v>
          </cell>
          <cell r="G19">
            <v>0.87429999999999997</v>
          </cell>
          <cell r="I19">
            <v>3</v>
          </cell>
          <cell r="J19">
            <v>0.87429999999999997</v>
          </cell>
          <cell r="K19">
            <v>0.87429999999999997</v>
          </cell>
          <cell r="L19">
            <v>0.87429999999999997</v>
          </cell>
          <cell r="M19">
            <v>0.87429999999999997</v>
          </cell>
          <cell r="N19">
            <v>0.87429999999999997</v>
          </cell>
          <cell r="O19">
            <v>0.87429999999999997</v>
          </cell>
          <cell r="Q19">
            <v>3</v>
          </cell>
          <cell r="R19">
            <v>0.87429999999999997</v>
          </cell>
          <cell r="S19">
            <v>0.87429999999999997</v>
          </cell>
          <cell r="T19">
            <v>0.87429999999999997</v>
          </cell>
          <cell r="U19">
            <v>0.87429999999999997</v>
          </cell>
          <cell r="V19">
            <v>0.87429999999999997</v>
          </cell>
          <cell r="W19">
            <v>0.87429999999999997</v>
          </cell>
          <cell r="Y19">
            <v>3</v>
          </cell>
          <cell r="Z19">
            <v>0.87429999999999997</v>
          </cell>
          <cell r="AA19">
            <v>0.87429999999999997</v>
          </cell>
          <cell r="AB19">
            <v>0.87429999999999997</v>
          </cell>
          <cell r="AC19">
            <v>0.87429999999999997</v>
          </cell>
          <cell r="AD19">
            <v>0.87429999999999997</v>
          </cell>
          <cell r="AE19">
            <v>0.87429999999999997</v>
          </cell>
          <cell r="AG19">
            <v>3</v>
          </cell>
          <cell r="AH19">
            <v>0.87429999999999997</v>
          </cell>
          <cell r="AI19">
            <v>0.87429999999999997</v>
          </cell>
          <cell r="AJ19">
            <v>0.87429999999999997</v>
          </cell>
          <cell r="AK19">
            <v>0.87429999999999997</v>
          </cell>
          <cell r="AL19">
            <v>0.87429999999999997</v>
          </cell>
          <cell r="AM19">
            <v>0.87429999999999997</v>
          </cell>
          <cell r="AO19">
            <v>3</v>
          </cell>
          <cell r="AP19">
            <v>0.87429999999999997</v>
          </cell>
          <cell r="AQ19">
            <v>0.87429999999999997</v>
          </cell>
          <cell r="AR19">
            <v>0.87429999999999997</v>
          </cell>
          <cell r="AS19">
            <v>0.87429999999999997</v>
          </cell>
          <cell r="AT19">
            <v>0.87429999999999997</v>
          </cell>
          <cell r="AU19">
            <v>0.87429999999999997</v>
          </cell>
        </row>
        <row r="20">
          <cell r="A20" t="str">
            <v>2 Ü</v>
          </cell>
          <cell r="B20">
            <v>0.87429999999999997</v>
          </cell>
          <cell r="C20">
            <v>0.87429999999999997</v>
          </cell>
          <cell r="D20">
            <v>0.87429999999999997</v>
          </cell>
          <cell r="E20">
            <v>0.87429999999999997</v>
          </cell>
          <cell r="F20">
            <v>0.87429999999999997</v>
          </cell>
          <cell r="G20">
            <v>0.87429999999999997</v>
          </cell>
          <cell r="I20" t="str">
            <v>2 Ü</v>
          </cell>
          <cell r="J20">
            <v>0.87429999999999997</v>
          </cell>
          <cell r="K20">
            <v>0.87429999999999997</v>
          </cell>
          <cell r="L20">
            <v>0.87429999999999997</v>
          </cell>
          <cell r="M20">
            <v>0.87429999999999997</v>
          </cell>
          <cell r="N20">
            <v>0.87429999999999997</v>
          </cell>
          <cell r="O20">
            <v>0.87429999999999997</v>
          </cell>
          <cell r="Q20" t="str">
            <v>2 Ü</v>
          </cell>
          <cell r="R20">
            <v>0.87429999999999997</v>
          </cell>
          <cell r="S20">
            <v>0.87429999999999997</v>
          </cell>
          <cell r="T20">
            <v>0.87429999999999997</v>
          </cell>
          <cell r="U20">
            <v>0.87429999999999997</v>
          </cell>
          <cell r="V20">
            <v>0.87429999999999997</v>
          </cell>
          <cell r="W20">
            <v>0.87429999999999997</v>
          </cell>
          <cell r="Y20" t="str">
            <v>2 Ü</v>
          </cell>
          <cell r="Z20">
            <v>0.87429999999999997</v>
          </cell>
          <cell r="AA20">
            <v>0.87429999999999997</v>
          </cell>
          <cell r="AB20">
            <v>0.87429999999999997</v>
          </cell>
          <cell r="AC20">
            <v>0.87429999999999997</v>
          </cell>
          <cell r="AD20">
            <v>0.87429999999999997</v>
          </cell>
          <cell r="AE20">
            <v>0.87429999999999997</v>
          </cell>
          <cell r="AG20" t="str">
            <v>2 Ü</v>
          </cell>
          <cell r="AH20">
            <v>0.87429999999999997</v>
          </cell>
          <cell r="AI20">
            <v>0.87429999999999997</v>
          </cell>
          <cell r="AJ20">
            <v>0.87429999999999997</v>
          </cell>
          <cell r="AK20">
            <v>0.87429999999999997</v>
          </cell>
          <cell r="AL20">
            <v>0.87429999999999997</v>
          </cell>
          <cell r="AM20">
            <v>0.87429999999999997</v>
          </cell>
          <cell r="AO20" t="str">
            <v>2 Ü</v>
          </cell>
          <cell r="AP20">
            <v>0.87429999999999997</v>
          </cell>
          <cell r="AQ20">
            <v>0.87429999999999997</v>
          </cell>
          <cell r="AR20">
            <v>0.87429999999999997</v>
          </cell>
          <cell r="AS20">
            <v>0.87429999999999997</v>
          </cell>
          <cell r="AT20">
            <v>0.87429999999999997</v>
          </cell>
          <cell r="AU20">
            <v>0.87429999999999997</v>
          </cell>
        </row>
        <row r="21">
          <cell r="A21">
            <v>2</v>
          </cell>
          <cell r="B21">
            <v>0.87429999999999997</v>
          </cell>
          <cell r="C21">
            <v>0.87429999999999997</v>
          </cell>
          <cell r="D21">
            <v>0.87429999999999997</v>
          </cell>
          <cell r="E21">
            <v>0.87429999999999997</v>
          </cell>
          <cell r="F21">
            <v>0.87429999999999997</v>
          </cell>
          <cell r="G21">
            <v>0.87429999999999997</v>
          </cell>
          <cell r="I21">
            <v>2</v>
          </cell>
          <cell r="J21">
            <v>0.87429999999999997</v>
          </cell>
          <cell r="K21">
            <v>0.87429999999999997</v>
          </cell>
          <cell r="L21">
            <v>0.87429999999999997</v>
          </cell>
          <cell r="M21">
            <v>0.87429999999999997</v>
          </cell>
          <cell r="N21">
            <v>0.87429999999999997</v>
          </cell>
          <cell r="O21">
            <v>0.87429999999999997</v>
          </cell>
          <cell r="Q21">
            <v>2</v>
          </cell>
          <cell r="R21">
            <v>0.87429999999999997</v>
          </cell>
          <cell r="S21">
            <v>0.87429999999999997</v>
          </cell>
          <cell r="T21">
            <v>0.87429999999999997</v>
          </cell>
          <cell r="U21">
            <v>0.87429999999999997</v>
          </cell>
          <cell r="V21">
            <v>0.87429999999999997</v>
          </cell>
          <cell r="W21">
            <v>0.87429999999999997</v>
          </cell>
          <cell r="Y21">
            <v>2</v>
          </cell>
          <cell r="Z21">
            <v>0.87429999999999997</v>
          </cell>
          <cell r="AA21">
            <v>0.87429999999999997</v>
          </cell>
          <cell r="AB21">
            <v>0.87429999999999997</v>
          </cell>
          <cell r="AC21">
            <v>0.87429999999999997</v>
          </cell>
          <cell r="AD21">
            <v>0.87429999999999997</v>
          </cell>
          <cell r="AE21">
            <v>0.87429999999999997</v>
          </cell>
          <cell r="AG21">
            <v>2</v>
          </cell>
          <cell r="AH21">
            <v>0.87429999999999997</v>
          </cell>
          <cell r="AI21">
            <v>0.87429999999999997</v>
          </cell>
          <cell r="AJ21">
            <v>0.87429999999999997</v>
          </cell>
          <cell r="AK21">
            <v>0.87429999999999997</v>
          </cell>
          <cell r="AL21">
            <v>0.87429999999999997</v>
          </cell>
          <cell r="AM21">
            <v>0.87429999999999997</v>
          </cell>
          <cell r="AO21">
            <v>2</v>
          </cell>
          <cell r="AP21">
            <v>0.87429999999999997</v>
          </cell>
          <cell r="AQ21">
            <v>0.87429999999999997</v>
          </cell>
          <cell r="AR21">
            <v>0.87429999999999997</v>
          </cell>
          <cell r="AS21">
            <v>0.87429999999999997</v>
          </cell>
          <cell r="AT21">
            <v>0.87429999999999997</v>
          </cell>
          <cell r="AU21">
            <v>0.87429999999999997</v>
          </cell>
        </row>
        <row r="22">
          <cell r="A22">
            <v>1</v>
          </cell>
          <cell r="B22">
            <v>0</v>
          </cell>
          <cell r="C22">
            <v>0.87429999999999997</v>
          </cell>
          <cell r="D22">
            <v>0.87429999999999997</v>
          </cell>
          <cell r="E22">
            <v>0.87429999999999997</v>
          </cell>
          <cell r="F22">
            <v>0.87429999999999997</v>
          </cell>
          <cell r="G22">
            <v>0.87429999999999997</v>
          </cell>
          <cell r="I22">
            <v>1</v>
          </cell>
          <cell r="J22">
            <v>0</v>
          </cell>
          <cell r="K22">
            <v>0.87429999999999997</v>
          </cell>
          <cell r="L22">
            <v>0.87429999999999997</v>
          </cell>
          <cell r="M22">
            <v>0.87429999999999997</v>
          </cell>
          <cell r="N22">
            <v>0.87429999999999997</v>
          </cell>
          <cell r="O22">
            <v>0.87429999999999997</v>
          </cell>
          <cell r="Q22">
            <v>1</v>
          </cell>
          <cell r="R22">
            <v>0</v>
          </cell>
          <cell r="S22">
            <v>0.87429999999999997</v>
          </cell>
          <cell r="T22">
            <v>0.87429999999999997</v>
          </cell>
          <cell r="U22">
            <v>0.87429999999999997</v>
          </cell>
          <cell r="V22">
            <v>0.87429999999999997</v>
          </cell>
          <cell r="W22">
            <v>0.87429999999999997</v>
          </cell>
          <cell r="Y22">
            <v>1</v>
          </cell>
          <cell r="Z22">
            <v>0</v>
          </cell>
          <cell r="AA22">
            <v>0.87429999999999997</v>
          </cell>
          <cell r="AB22">
            <v>0.87429999999999997</v>
          </cell>
          <cell r="AC22">
            <v>0.87429999999999997</v>
          </cell>
          <cell r="AD22">
            <v>0.87429999999999997</v>
          </cell>
          <cell r="AE22">
            <v>0.87429999999999997</v>
          </cell>
          <cell r="AG22">
            <v>1</v>
          </cell>
          <cell r="AH22">
            <v>0</v>
          </cell>
          <cell r="AI22">
            <v>0.87429999999999997</v>
          </cell>
          <cell r="AJ22">
            <v>0.87429999999999997</v>
          </cell>
          <cell r="AK22">
            <v>0.87429999999999997</v>
          </cell>
          <cell r="AL22">
            <v>0.87429999999999997</v>
          </cell>
          <cell r="AM22">
            <v>0.87429999999999997</v>
          </cell>
          <cell r="AO22">
            <v>1</v>
          </cell>
          <cell r="AP22">
            <v>0</v>
          </cell>
          <cell r="AQ22">
            <v>0.87429999999999997</v>
          </cell>
          <cell r="AR22">
            <v>0.87429999999999997</v>
          </cell>
          <cell r="AS22">
            <v>0.87429999999999997</v>
          </cell>
          <cell r="AT22">
            <v>0.87429999999999997</v>
          </cell>
          <cell r="AU22">
            <v>0.87429999999999997</v>
          </cell>
        </row>
        <row r="27">
          <cell r="B27">
            <v>39</v>
          </cell>
          <cell r="J27">
            <v>39</v>
          </cell>
          <cell r="R27">
            <v>39</v>
          </cell>
          <cell r="Z27">
            <v>39</v>
          </cell>
          <cell r="AH27">
            <v>39</v>
          </cell>
          <cell r="AP27">
            <v>39</v>
          </cell>
        </row>
        <row r="32">
          <cell r="B32" t="e">
            <v>#N/A</v>
          </cell>
          <cell r="C32" t="e">
            <v>#N/A</v>
          </cell>
          <cell r="D32" t="e">
            <v>#N/A</v>
          </cell>
          <cell r="J32" t="e">
            <v>#N/A</v>
          </cell>
          <cell r="K32" t="e">
            <v>#N/A</v>
          </cell>
          <cell r="L32" t="e">
            <v>#N/A</v>
          </cell>
          <cell r="R32" t="e">
            <v>#N/A</v>
          </cell>
          <cell r="S32" t="e">
            <v>#N/A</v>
          </cell>
          <cell r="T32" t="e">
            <v>#N/A</v>
          </cell>
          <cell r="Z32" t="e">
            <v>#N/A</v>
          </cell>
          <cell r="AA32" t="e">
            <v>#N/A</v>
          </cell>
          <cell r="AB32" t="e">
            <v>#N/A</v>
          </cell>
          <cell r="AH32" t="e">
            <v>#N/A</v>
          </cell>
          <cell r="AI32" t="e">
            <v>#N/A</v>
          </cell>
          <cell r="AJ32" t="e">
            <v>#N/A</v>
          </cell>
          <cell r="AP32" t="e">
            <v>#N/A</v>
          </cell>
          <cell r="AQ32" t="e">
            <v>#N/A</v>
          </cell>
          <cell r="AR32" t="e">
            <v>#N/A</v>
          </cell>
        </row>
        <row r="37">
          <cell r="B37" t="e">
            <v>#N/A</v>
          </cell>
          <cell r="J37" t="e">
            <v>#N/A</v>
          </cell>
          <cell r="R37" t="e">
            <v>#N/A</v>
          </cell>
          <cell r="Z37" t="e">
            <v>#N/A</v>
          </cell>
          <cell r="AH37" t="e">
            <v>#N/A</v>
          </cell>
          <cell r="AP37" t="e">
            <v>#N/A</v>
          </cell>
        </row>
        <row r="44">
          <cell r="E44" t="e">
            <v>#N/A</v>
          </cell>
          <cell r="F44" t="e">
            <v>#N/A</v>
          </cell>
          <cell r="M44" t="e">
            <v>#N/A</v>
          </cell>
          <cell r="N44" t="e">
            <v>#N/A</v>
          </cell>
          <cell r="U44" t="e">
            <v>#N/A</v>
          </cell>
          <cell r="V44" t="e">
            <v>#N/A</v>
          </cell>
          <cell r="AC44" t="e">
            <v>#N/A</v>
          </cell>
          <cell r="AD44" t="e">
            <v>#N/A</v>
          </cell>
          <cell r="AK44" t="e">
            <v>#N/A</v>
          </cell>
          <cell r="AL44" t="e">
            <v>#N/A</v>
          </cell>
          <cell r="AS44" t="e">
            <v>#N/A</v>
          </cell>
          <cell r="AT44" t="e">
            <v>#N/A</v>
          </cell>
        </row>
        <row r="45">
          <cell r="F45" t="e">
            <v>#N/A</v>
          </cell>
          <cell r="N45" t="e">
            <v>#N/A</v>
          </cell>
          <cell r="V45" t="e">
            <v>#N/A</v>
          </cell>
          <cell r="AD45" t="e">
            <v>#N/A</v>
          </cell>
          <cell r="AL45" t="e">
            <v>#N/A</v>
          </cell>
          <cell r="AT45" t="e">
            <v>#N/A</v>
          </cell>
        </row>
        <row r="46">
          <cell r="D46" t="e">
            <v>#N/A</v>
          </cell>
          <cell r="E46" t="e">
            <v>#N/A</v>
          </cell>
          <cell r="L46" t="e">
            <v>#N/A</v>
          </cell>
          <cell r="M46" t="e">
            <v>#N/A</v>
          </cell>
          <cell r="T46" t="e">
            <v>#N/A</v>
          </cell>
          <cell r="U46" t="e">
            <v>#N/A</v>
          </cell>
          <cell r="AB46" t="e">
            <v>#N/A</v>
          </cell>
          <cell r="AC46" t="e">
            <v>#N/A</v>
          </cell>
          <cell r="AJ46" t="e">
            <v>#N/A</v>
          </cell>
          <cell r="AK46" t="e">
            <v>#N/A</v>
          </cell>
          <cell r="AR46" t="e">
            <v>#N/A</v>
          </cell>
          <cell r="AS46" t="e">
            <v>#N/A</v>
          </cell>
        </row>
        <row r="47">
          <cell r="D47" t="e">
            <v>#N/A</v>
          </cell>
          <cell r="L47" t="e">
            <v>#N/A</v>
          </cell>
          <cell r="T47" t="e">
            <v>#N/A</v>
          </cell>
          <cell r="AB47" t="e">
            <v>#N/A</v>
          </cell>
          <cell r="AJ47" t="e">
            <v>#N/A</v>
          </cell>
          <cell r="AR47" t="e">
            <v>#N/A</v>
          </cell>
        </row>
        <row r="49">
          <cell r="D49" t="e">
            <v>#N/A</v>
          </cell>
          <cell r="L49" t="e">
            <v>#N/A</v>
          </cell>
          <cell r="T49" t="e">
            <v>#N/A</v>
          </cell>
          <cell r="AB49" t="e">
            <v>#N/A</v>
          </cell>
          <cell r="AJ49" t="e">
            <v>#N/A</v>
          </cell>
          <cell r="AR49" t="e">
            <v>#N/A</v>
          </cell>
        </row>
        <row r="50">
          <cell r="D50" t="e">
            <v>#N/A</v>
          </cell>
          <cell r="F50" t="e">
            <v>#N/A</v>
          </cell>
          <cell r="L50" t="e">
            <v>#N/A</v>
          </cell>
          <cell r="N50" t="e">
            <v>#N/A</v>
          </cell>
          <cell r="T50" t="e">
            <v>#N/A</v>
          </cell>
          <cell r="V50" t="e">
            <v>#N/A</v>
          </cell>
          <cell r="AB50" t="e">
            <v>#N/A</v>
          </cell>
          <cell r="AD50" t="e">
            <v>#N/A</v>
          </cell>
          <cell r="AJ50" t="e">
            <v>#N/A</v>
          </cell>
          <cell r="AL50" t="e">
            <v>#N/A</v>
          </cell>
          <cell r="AR50" t="e">
            <v>#N/A</v>
          </cell>
          <cell r="AT50" t="e">
            <v>#N/A</v>
          </cell>
        </row>
        <row r="57">
          <cell r="B57" t="e">
            <v>#N/A</v>
          </cell>
          <cell r="J57" t="e">
            <v>#N/A</v>
          </cell>
          <cell r="R57" t="e">
            <v>#N/A</v>
          </cell>
          <cell r="Z57" t="e">
            <v>#N/A</v>
          </cell>
          <cell r="AH57" t="e">
            <v>#N/A</v>
          </cell>
          <cell r="AP57" t="e">
            <v>#N/A</v>
          </cell>
        </row>
      </sheetData>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läuterung"/>
      <sheetName val="PKHR_für_Tarifpersonal"/>
      <sheetName val="PKHR_für_SHK_WHK_TUT"/>
      <sheetName val="PKHR_für_AZA(P)"/>
      <sheetName val="HR-DM (U3,U4,U5AUF)"/>
      <sheetName val="HR-LM (U2,U5FOD,U7)"/>
      <sheetName val="HR-AZA(P)"/>
      <sheetName val="HR-SHK, WHK u.Tut"/>
      <sheetName val="HR-EU"/>
      <sheetName val="HR-EU_Druckversion"/>
      <sheetName val="Tariftabellen"/>
      <sheetName val="Nebenkosten (NK)"/>
      <sheetName val="Std. Satz_SHK, WHK u. TUT"/>
      <sheetName val="NK_SHK, WHK u. TUT"/>
      <sheetName val="Berechnungsgrundlagen"/>
      <sheetName val="DROP DOWN"/>
    </sheetNames>
    <sheetDataSet>
      <sheetData sheetId="0"/>
      <sheetData sheetId="1"/>
      <sheetData sheetId="2"/>
      <sheetData sheetId="3"/>
      <sheetData sheetId="4"/>
      <sheetData sheetId="5"/>
      <sheetData sheetId="6"/>
      <sheetData sheetId="7"/>
      <sheetData sheetId="8"/>
      <sheetData sheetId="9"/>
      <sheetData sheetId="10">
        <row r="5">
          <cell r="B5">
            <v>1</v>
          </cell>
          <cell r="C5">
            <v>2</v>
          </cell>
          <cell r="D5">
            <v>3</v>
          </cell>
          <cell r="E5">
            <v>4</v>
          </cell>
          <cell r="F5">
            <v>5</v>
          </cell>
          <cell r="G5">
            <v>6</v>
          </cell>
          <cell r="J5">
            <v>1</v>
          </cell>
          <cell r="K5">
            <v>2</v>
          </cell>
          <cell r="L5">
            <v>3</v>
          </cell>
          <cell r="M5">
            <v>4</v>
          </cell>
          <cell r="N5">
            <v>5</v>
          </cell>
          <cell r="O5">
            <v>6</v>
          </cell>
          <cell r="R5">
            <v>1</v>
          </cell>
          <cell r="S5">
            <v>2</v>
          </cell>
          <cell r="T5">
            <v>3</v>
          </cell>
          <cell r="U5">
            <v>4</v>
          </cell>
          <cell r="V5">
            <v>5</v>
          </cell>
          <cell r="W5">
            <v>6</v>
          </cell>
          <cell r="Z5">
            <v>1</v>
          </cell>
          <cell r="AA5">
            <v>2</v>
          </cell>
          <cell r="AB5">
            <v>3</v>
          </cell>
          <cell r="AC5">
            <v>4</v>
          </cell>
          <cell r="AD5">
            <v>5</v>
          </cell>
          <cell r="AE5">
            <v>6</v>
          </cell>
          <cell r="AH5">
            <v>1</v>
          </cell>
          <cell r="AI5">
            <v>2</v>
          </cell>
          <cell r="AJ5">
            <v>3</v>
          </cell>
          <cell r="AK5">
            <v>4</v>
          </cell>
          <cell r="AL5">
            <v>5</v>
          </cell>
          <cell r="AM5">
            <v>6</v>
          </cell>
          <cell r="AP5">
            <v>1</v>
          </cell>
          <cell r="AQ5">
            <v>2</v>
          </cell>
          <cell r="AR5">
            <v>3</v>
          </cell>
          <cell r="AS5">
            <v>4</v>
          </cell>
          <cell r="AT5">
            <v>5</v>
          </cell>
          <cell r="AU5">
            <v>6</v>
          </cell>
        </row>
        <row r="6">
          <cell r="A6" t="str">
            <v>15 Ü</v>
          </cell>
          <cell r="B6">
            <v>6670.37</v>
          </cell>
          <cell r="C6">
            <v>7380.67</v>
          </cell>
          <cell r="D6">
            <v>8054.8</v>
          </cell>
          <cell r="E6">
            <v>8496.92</v>
          </cell>
          <cell r="F6">
            <v>8605.68</v>
          </cell>
          <cell r="G6">
            <v>0</v>
          </cell>
          <cell r="I6" t="str">
            <v>15 Ü</v>
          </cell>
          <cell r="J6">
            <v>6670.37</v>
          </cell>
          <cell r="K6">
            <v>7380.67</v>
          </cell>
          <cell r="L6">
            <v>8054.8</v>
          </cell>
          <cell r="M6">
            <v>8496.92</v>
          </cell>
          <cell r="N6">
            <v>8605.68</v>
          </cell>
          <cell r="O6">
            <v>0</v>
          </cell>
          <cell r="Q6" t="str">
            <v>15 Ü</v>
          </cell>
          <cell r="R6">
            <v>6670.37</v>
          </cell>
          <cell r="S6">
            <v>7380.67</v>
          </cell>
          <cell r="T6">
            <v>8054.8</v>
          </cell>
          <cell r="U6">
            <v>8496.92</v>
          </cell>
          <cell r="V6">
            <v>8605.68</v>
          </cell>
          <cell r="W6">
            <v>0</v>
          </cell>
          <cell r="Y6" t="str">
            <v>15 Ü</v>
          </cell>
          <cell r="Z6">
            <v>6670.37</v>
          </cell>
          <cell r="AA6">
            <v>7380.67</v>
          </cell>
          <cell r="AB6">
            <v>8054.8</v>
          </cell>
          <cell r="AC6">
            <v>8496.92</v>
          </cell>
          <cell r="AD6">
            <v>8605.68</v>
          </cell>
          <cell r="AE6">
            <v>0</v>
          </cell>
          <cell r="AG6" t="str">
            <v>15 Ü</v>
          </cell>
          <cell r="AH6">
            <v>6670.37</v>
          </cell>
          <cell r="AI6">
            <v>7380.67</v>
          </cell>
          <cell r="AJ6">
            <v>8054.8</v>
          </cell>
          <cell r="AK6">
            <v>8496.92</v>
          </cell>
          <cell r="AL6">
            <v>8605.68</v>
          </cell>
          <cell r="AM6">
            <v>0</v>
          </cell>
          <cell r="AO6" t="str">
            <v>15 Ü</v>
          </cell>
          <cell r="AP6">
            <v>6670.37</v>
          </cell>
          <cell r="AQ6">
            <v>7380.67</v>
          </cell>
          <cell r="AR6">
            <v>8054.8</v>
          </cell>
          <cell r="AS6">
            <v>8496.92</v>
          </cell>
          <cell r="AT6">
            <v>8605.68</v>
          </cell>
          <cell r="AU6">
            <v>0</v>
          </cell>
        </row>
        <row r="7">
          <cell r="A7">
            <v>15</v>
          </cell>
          <cell r="B7">
            <v>5504.26</v>
          </cell>
          <cell r="C7">
            <v>5902.04</v>
          </cell>
          <cell r="D7">
            <v>6112.24</v>
          </cell>
          <cell r="E7">
            <v>6858.84</v>
          </cell>
          <cell r="F7">
            <v>7424.19</v>
          </cell>
          <cell r="G7">
            <v>7640.58</v>
          </cell>
          <cell r="I7">
            <v>15</v>
          </cell>
          <cell r="J7">
            <v>5504.26</v>
          </cell>
          <cell r="K7">
            <v>5902.04</v>
          </cell>
          <cell r="L7">
            <v>6112.24</v>
          </cell>
          <cell r="M7">
            <v>6858.84</v>
          </cell>
          <cell r="N7">
            <v>7424.19</v>
          </cell>
          <cell r="O7">
            <v>7640.58</v>
          </cell>
          <cell r="Q7">
            <v>15</v>
          </cell>
          <cell r="R7">
            <v>5504.26</v>
          </cell>
          <cell r="S7">
            <v>5902.04</v>
          </cell>
          <cell r="T7">
            <v>6112.24</v>
          </cell>
          <cell r="U7">
            <v>6858.84</v>
          </cell>
          <cell r="V7">
            <v>7424.19</v>
          </cell>
          <cell r="W7">
            <v>7640.58</v>
          </cell>
          <cell r="Y7">
            <v>15</v>
          </cell>
          <cell r="Z7">
            <v>5504.26</v>
          </cell>
          <cell r="AA7">
            <v>5902.04</v>
          </cell>
          <cell r="AB7">
            <v>6112.24</v>
          </cell>
          <cell r="AC7">
            <v>6858.84</v>
          </cell>
          <cell r="AD7">
            <v>7424.19</v>
          </cell>
          <cell r="AE7">
            <v>7640.58</v>
          </cell>
          <cell r="AG7">
            <v>15</v>
          </cell>
          <cell r="AH7">
            <v>5504.26</v>
          </cell>
          <cell r="AI7">
            <v>5902.04</v>
          </cell>
          <cell r="AJ7">
            <v>6112.24</v>
          </cell>
          <cell r="AK7">
            <v>6858.84</v>
          </cell>
          <cell r="AL7">
            <v>7424.19</v>
          </cell>
          <cell r="AM7">
            <v>7640.58</v>
          </cell>
          <cell r="AO7">
            <v>15</v>
          </cell>
          <cell r="AP7">
            <v>5504.26</v>
          </cell>
          <cell r="AQ7">
            <v>5902.04</v>
          </cell>
          <cell r="AR7">
            <v>6112.24</v>
          </cell>
          <cell r="AS7">
            <v>6858.84</v>
          </cell>
          <cell r="AT7">
            <v>7424.19</v>
          </cell>
          <cell r="AU7">
            <v>7640.58</v>
          </cell>
        </row>
        <row r="8">
          <cell r="A8">
            <v>14</v>
          </cell>
          <cell r="B8">
            <v>5003.49</v>
          </cell>
          <cell r="C8">
            <v>5365.66</v>
          </cell>
          <cell r="D8">
            <v>5662.85</v>
          </cell>
          <cell r="E8">
            <v>6112.24</v>
          </cell>
          <cell r="F8">
            <v>6800.81</v>
          </cell>
          <cell r="G8">
            <v>6998.52</v>
          </cell>
          <cell r="I8">
            <v>14</v>
          </cell>
          <cell r="J8">
            <v>5003.49</v>
          </cell>
          <cell r="K8">
            <v>5365.66</v>
          </cell>
          <cell r="L8">
            <v>5662.85</v>
          </cell>
          <cell r="M8">
            <v>6112.24</v>
          </cell>
          <cell r="N8">
            <v>6800.81</v>
          </cell>
          <cell r="O8">
            <v>6998.52</v>
          </cell>
          <cell r="Q8">
            <v>14</v>
          </cell>
          <cell r="R8">
            <v>5003.49</v>
          </cell>
          <cell r="S8">
            <v>5365.66</v>
          </cell>
          <cell r="T8">
            <v>5662.85</v>
          </cell>
          <cell r="U8">
            <v>6112.24</v>
          </cell>
          <cell r="V8">
            <v>6800.81</v>
          </cell>
          <cell r="W8">
            <v>6998.52</v>
          </cell>
          <cell r="Y8">
            <v>14</v>
          </cell>
          <cell r="Z8">
            <v>5003.49</v>
          </cell>
          <cell r="AA8">
            <v>5365.66</v>
          </cell>
          <cell r="AB8">
            <v>5662.85</v>
          </cell>
          <cell r="AC8">
            <v>6112.24</v>
          </cell>
          <cell r="AD8">
            <v>6800.81</v>
          </cell>
          <cell r="AE8">
            <v>6998.52</v>
          </cell>
          <cell r="AG8">
            <v>14</v>
          </cell>
          <cell r="AH8">
            <v>5003.49</v>
          </cell>
          <cell r="AI8">
            <v>5365.66</v>
          </cell>
          <cell r="AJ8">
            <v>5662.85</v>
          </cell>
          <cell r="AK8">
            <v>6112.24</v>
          </cell>
          <cell r="AL8">
            <v>6800.81</v>
          </cell>
          <cell r="AM8">
            <v>6998.52</v>
          </cell>
          <cell r="AO8">
            <v>14</v>
          </cell>
          <cell r="AP8">
            <v>5003.49</v>
          </cell>
          <cell r="AQ8">
            <v>5365.66</v>
          </cell>
          <cell r="AR8">
            <v>5662.85</v>
          </cell>
          <cell r="AS8">
            <v>6112.24</v>
          </cell>
          <cell r="AT8">
            <v>6800.81</v>
          </cell>
          <cell r="AU8">
            <v>6998.52</v>
          </cell>
        </row>
        <row r="9">
          <cell r="A9" t="str">
            <v>13 Ü</v>
          </cell>
          <cell r="B9">
            <v>0</v>
          </cell>
          <cell r="C9">
            <v>4967.01</v>
          </cell>
          <cell r="D9">
            <v>5220.71</v>
          </cell>
          <cell r="E9">
            <v>6112.24</v>
          </cell>
          <cell r="F9">
            <v>6800.81</v>
          </cell>
          <cell r="G9">
            <v>6998.52</v>
          </cell>
          <cell r="I9" t="str">
            <v>13 Ü</v>
          </cell>
          <cell r="J9">
            <v>0</v>
          </cell>
          <cell r="K9">
            <v>4967.01</v>
          </cell>
          <cell r="L9">
            <v>5220.71</v>
          </cell>
          <cell r="M9">
            <v>6112.24</v>
          </cell>
          <cell r="N9">
            <v>6800.81</v>
          </cell>
          <cell r="O9">
            <v>6998.52</v>
          </cell>
          <cell r="Q9" t="str">
            <v>13 Ü</v>
          </cell>
          <cell r="R9">
            <v>0</v>
          </cell>
          <cell r="S9">
            <v>4967.01</v>
          </cell>
          <cell r="T9">
            <v>5220.71</v>
          </cell>
          <cell r="U9">
            <v>6112.24</v>
          </cell>
          <cell r="V9">
            <v>6800.81</v>
          </cell>
          <cell r="W9">
            <v>6998.52</v>
          </cell>
          <cell r="Y9" t="str">
            <v>13 Ü</v>
          </cell>
          <cell r="Z9">
            <v>0</v>
          </cell>
          <cell r="AA9">
            <v>4967.01</v>
          </cell>
          <cell r="AB9">
            <v>5220.71</v>
          </cell>
          <cell r="AC9">
            <v>6112.24</v>
          </cell>
          <cell r="AD9">
            <v>6800.81</v>
          </cell>
          <cell r="AE9">
            <v>6998.52</v>
          </cell>
          <cell r="AG9" t="str">
            <v>13 Ü</v>
          </cell>
          <cell r="AH9">
            <v>0</v>
          </cell>
          <cell r="AI9">
            <v>4967.01</v>
          </cell>
          <cell r="AJ9">
            <v>5220.71</v>
          </cell>
          <cell r="AK9">
            <v>6112.24</v>
          </cell>
          <cell r="AL9">
            <v>6800.81</v>
          </cell>
          <cell r="AM9">
            <v>6998.52</v>
          </cell>
          <cell r="AO9" t="str">
            <v>13 Ü</v>
          </cell>
          <cell r="AP9">
            <v>0</v>
          </cell>
          <cell r="AQ9">
            <v>4967.01</v>
          </cell>
          <cell r="AR9">
            <v>5220.71</v>
          </cell>
          <cell r="AS9">
            <v>6112.24</v>
          </cell>
          <cell r="AT9">
            <v>6800.81</v>
          </cell>
          <cell r="AU9">
            <v>6998.52</v>
          </cell>
        </row>
        <row r="10">
          <cell r="A10">
            <v>13</v>
          </cell>
          <cell r="B10">
            <v>4629.74</v>
          </cell>
          <cell r="C10">
            <v>4967.01</v>
          </cell>
          <cell r="D10">
            <v>5220.71</v>
          </cell>
          <cell r="E10">
            <v>5713.58</v>
          </cell>
          <cell r="F10">
            <v>6394.91</v>
          </cell>
          <cell r="G10">
            <v>6580.44</v>
          </cell>
          <cell r="I10">
            <v>13</v>
          </cell>
          <cell r="J10">
            <v>4629.74</v>
          </cell>
          <cell r="K10">
            <v>4967.01</v>
          </cell>
          <cell r="L10">
            <v>5220.71</v>
          </cell>
          <cell r="M10">
            <v>5713.58</v>
          </cell>
          <cell r="N10">
            <v>6394.91</v>
          </cell>
          <cell r="O10">
            <v>6580.44</v>
          </cell>
          <cell r="Q10">
            <v>13</v>
          </cell>
          <cell r="R10">
            <v>4629.74</v>
          </cell>
          <cell r="S10">
            <v>4967.01</v>
          </cell>
          <cell r="T10">
            <v>5220.71</v>
          </cell>
          <cell r="U10">
            <v>5713.58</v>
          </cell>
          <cell r="V10">
            <v>6394.91</v>
          </cell>
          <cell r="W10">
            <v>6580.44</v>
          </cell>
          <cell r="Y10">
            <v>13</v>
          </cell>
          <cell r="Z10">
            <v>4629.74</v>
          </cell>
          <cell r="AA10">
            <v>4967.01</v>
          </cell>
          <cell r="AB10">
            <v>5220.71</v>
          </cell>
          <cell r="AC10">
            <v>5713.58</v>
          </cell>
          <cell r="AD10">
            <v>6394.91</v>
          </cell>
          <cell r="AE10">
            <v>6580.44</v>
          </cell>
          <cell r="AG10">
            <v>13</v>
          </cell>
          <cell r="AH10">
            <v>4629.74</v>
          </cell>
          <cell r="AI10">
            <v>4967.01</v>
          </cell>
          <cell r="AJ10">
            <v>5220.71</v>
          </cell>
          <cell r="AK10">
            <v>5713.58</v>
          </cell>
          <cell r="AL10">
            <v>6394.91</v>
          </cell>
          <cell r="AM10">
            <v>6580.44</v>
          </cell>
          <cell r="AO10">
            <v>13</v>
          </cell>
          <cell r="AP10">
            <v>4629.74</v>
          </cell>
          <cell r="AQ10">
            <v>4967.01</v>
          </cell>
          <cell r="AR10">
            <v>5220.71</v>
          </cell>
          <cell r="AS10">
            <v>5713.58</v>
          </cell>
          <cell r="AT10">
            <v>6394.91</v>
          </cell>
          <cell r="AU10">
            <v>6580.44</v>
          </cell>
        </row>
        <row r="11">
          <cell r="A11">
            <v>12</v>
          </cell>
          <cell r="B11">
            <v>4193.4799999999996</v>
          </cell>
          <cell r="C11">
            <v>4474.13</v>
          </cell>
          <cell r="D11">
            <v>5068.49</v>
          </cell>
          <cell r="E11">
            <v>5590.37</v>
          </cell>
          <cell r="F11">
            <v>6264.45</v>
          </cell>
          <cell r="G11">
            <v>6446.05</v>
          </cell>
          <cell r="I11">
            <v>12</v>
          </cell>
          <cell r="J11">
            <v>4193.4799999999996</v>
          </cell>
          <cell r="K11">
            <v>4474.13</v>
          </cell>
          <cell r="L11">
            <v>5068.49</v>
          </cell>
          <cell r="M11">
            <v>5590.37</v>
          </cell>
          <cell r="N11">
            <v>6264.45</v>
          </cell>
          <cell r="O11">
            <v>6446.05</v>
          </cell>
          <cell r="Q11">
            <v>12</v>
          </cell>
          <cell r="R11">
            <v>4193.4799999999996</v>
          </cell>
          <cell r="S11">
            <v>4474.13</v>
          </cell>
          <cell r="T11">
            <v>5068.49</v>
          </cell>
          <cell r="U11">
            <v>5590.37</v>
          </cell>
          <cell r="V11">
            <v>6264.45</v>
          </cell>
          <cell r="W11">
            <v>6446.05</v>
          </cell>
          <cell r="Y11">
            <v>12</v>
          </cell>
          <cell r="Z11">
            <v>4193.4799999999996</v>
          </cell>
          <cell r="AA11">
            <v>4474.13</v>
          </cell>
          <cell r="AB11">
            <v>5068.49</v>
          </cell>
          <cell r="AC11">
            <v>5590.37</v>
          </cell>
          <cell r="AD11">
            <v>6264.45</v>
          </cell>
          <cell r="AE11">
            <v>6446.05</v>
          </cell>
          <cell r="AG11">
            <v>12</v>
          </cell>
          <cell r="AH11">
            <v>4193.4799999999996</v>
          </cell>
          <cell r="AI11">
            <v>4474.13</v>
          </cell>
          <cell r="AJ11">
            <v>5068.49</v>
          </cell>
          <cell r="AK11">
            <v>5590.37</v>
          </cell>
          <cell r="AL11">
            <v>6264.45</v>
          </cell>
          <cell r="AM11">
            <v>6446.05</v>
          </cell>
          <cell r="AO11">
            <v>12</v>
          </cell>
          <cell r="AP11">
            <v>4193.4799999999996</v>
          </cell>
          <cell r="AQ11">
            <v>4474.13</v>
          </cell>
          <cell r="AR11">
            <v>5068.49</v>
          </cell>
          <cell r="AS11">
            <v>5590.37</v>
          </cell>
          <cell r="AT11">
            <v>6264.45</v>
          </cell>
          <cell r="AU11">
            <v>6446.05</v>
          </cell>
        </row>
        <row r="12">
          <cell r="A12">
            <v>11</v>
          </cell>
          <cell r="B12">
            <v>4064.54</v>
          </cell>
          <cell r="C12">
            <v>4323.79</v>
          </cell>
          <cell r="D12">
            <v>4619.1000000000004</v>
          </cell>
          <cell r="E12">
            <v>5068.49</v>
          </cell>
          <cell r="F12">
            <v>5720.84</v>
          </cell>
          <cell r="G12">
            <v>5886.14</v>
          </cell>
          <cell r="I12">
            <v>11</v>
          </cell>
          <cell r="J12">
            <v>4064.54</v>
          </cell>
          <cell r="K12">
            <v>4323.79</v>
          </cell>
          <cell r="L12">
            <v>4619.1000000000004</v>
          </cell>
          <cell r="M12">
            <v>5068.49</v>
          </cell>
          <cell r="N12">
            <v>5720.84</v>
          </cell>
          <cell r="O12">
            <v>5886.14</v>
          </cell>
          <cell r="Q12">
            <v>11</v>
          </cell>
          <cell r="R12">
            <v>4064.54</v>
          </cell>
          <cell r="S12">
            <v>4323.79</v>
          </cell>
          <cell r="T12">
            <v>4619.1000000000004</v>
          </cell>
          <cell r="U12">
            <v>5068.49</v>
          </cell>
          <cell r="V12">
            <v>5720.84</v>
          </cell>
          <cell r="W12">
            <v>5886.14</v>
          </cell>
          <cell r="Y12">
            <v>11</v>
          </cell>
          <cell r="Z12">
            <v>4064.54</v>
          </cell>
          <cell r="AA12">
            <v>4323.79</v>
          </cell>
          <cell r="AB12">
            <v>4619.1000000000004</v>
          </cell>
          <cell r="AC12">
            <v>5068.49</v>
          </cell>
          <cell r="AD12">
            <v>5720.84</v>
          </cell>
          <cell r="AE12">
            <v>5886.14</v>
          </cell>
          <cell r="AG12">
            <v>11</v>
          </cell>
          <cell r="AH12">
            <v>4064.54</v>
          </cell>
          <cell r="AI12">
            <v>4323.79</v>
          </cell>
          <cell r="AJ12">
            <v>4619.1000000000004</v>
          </cell>
          <cell r="AK12">
            <v>5068.49</v>
          </cell>
          <cell r="AL12">
            <v>5720.84</v>
          </cell>
          <cell r="AM12">
            <v>5886.14</v>
          </cell>
          <cell r="AO12">
            <v>11</v>
          </cell>
          <cell r="AP12">
            <v>4064.54</v>
          </cell>
          <cell r="AQ12">
            <v>4323.79</v>
          </cell>
          <cell r="AR12">
            <v>4619.1000000000004</v>
          </cell>
          <cell r="AS12">
            <v>5068.49</v>
          </cell>
          <cell r="AT12">
            <v>5720.84</v>
          </cell>
          <cell r="AU12">
            <v>5886.14</v>
          </cell>
        </row>
        <row r="13">
          <cell r="A13">
            <v>10</v>
          </cell>
          <cell r="B13">
            <v>3928.42</v>
          </cell>
          <cell r="C13">
            <v>4182.83</v>
          </cell>
          <cell r="D13">
            <v>4474.13</v>
          </cell>
          <cell r="E13">
            <v>4771.29</v>
          </cell>
          <cell r="F13">
            <v>5336.7</v>
          </cell>
          <cell r="G13">
            <v>5490.47</v>
          </cell>
          <cell r="I13">
            <v>10</v>
          </cell>
          <cell r="J13">
            <v>3928.42</v>
          </cell>
          <cell r="K13">
            <v>4182.83</v>
          </cell>
          <cell r="L13">
            <v>4474.13</v>
          </cell>
          <cell r="M13">
            <v>4771.29</v>
          </cell>
          <cell r="N13">
            <v>5336.7</v>
          </cell>
          <cell r="O13">
            <v>5490.47</v>
          </cell>
          <cell r="Q13">
            <v>10</v>
          </cell>
          <cell r="R13">
            <v>3928.42</v>
          </cell>
          <cell r="S13">
            <v>4182.83</v>
          </cell>
          <cell r="T13">
            <v>4474.13</v>
          </cell>
          <cell r="U13">
            <v>4771.29</v>
          </cell>
          <cell r="V13">
            <v>5336.7</v>
          </cell>
          <cell r="W13">
            <v>5490.47</v>
          </cell>
          <cell r="Y13">
            <v>10</v>
          </cell>
          <cell r="Z13">
            <v>3928.42</v>
          </cell>
          <cell r="AA13">
            <v>4182.83</v>
          </cell>
          <cell r="AB13">
            <v>4474.13</v>
          </cell>
          <cell r="AC13">
            <v>4771.29</v>
          </cell>
          <cell r="AD13">
            <v>5336.7</v>
          </cell>
          <cell r="AE13">
            <v>5490.47</v>
          </cell>
          <cell r="AG13">
            <v>10</v>
          </cell>
          <cell r="AH13">
            <v>3928.42</v>
          </cell>
          <cell r="AI13">
            <v>4182.83</v>
          </cell>
          <cell r="AJ13">
            <v>4474.13</v>
          </cell>
          <cell r="AK13">
            <v>4771.29</v>
          </cell>
          <cell r="AL13">
            <v>5336.7</v>
          </cell>
          <cell r="AM13">
            <v>5490.47</v>
          </cell>
          <cell r="AO13">
            <v>10</v>
          </cell>
          <cell r="AP13">
            <v>3928.42</v>
          </cell>
          <cell r="AQ13">
            <v>4182.83</v>
          </cell>
          <cell r="AR13">
            <v>4474.13</v>
          </cell>
          <cell r="AS13">
            <v>4771.29</v>
          </cell>
          <cell r="AT13">
            <v>5336.7</v>
          </cell>
          <cell r="AU13">
            <v>5490.47</v>
          </cell>
        </row>
        <row r="14">
          <cell r="A14">
            <v>9</v>
          </cell>
          <cell r="B14">
            <v>3520.1</v>
          </cell>
          <cell r="C14">
            <v>3765.38</v>
          </cell>
          <cell r="D14">
            <v>3925.17</v>
          </cell>
          <cell r="E14">
            <v>4366.72</v>
          </cell>
          <cell r="F14">
            <v>4742.32</v>
          </cell>
          <cell r="G14">
            <v>4878.28</v>
          </cell>
          <cell r="I14">
            <v>9</v>
          </cell>
          <cell r="J14">
            <v>3520.1</v>
          </cell>
          <cell r="K14">
            <v>3765.38</v>
          </cell>
          <cell r="L14">
            <v>3925.17</v>
          </cell>
          <cell r="M14">
            <v>4366.72</v>
          </cell>
          <cell r="N14">
            <v>4742.32</v>
          </cell>
          <cell r="O14">
            <v>4878.28</v>
          </cell>
          <cell r="Q14">
            <v>9</v>
          </cell>
          <cell r="R14">
            <v>3520.1</v>
          </cell>
          <cell r="S14">
            <v>3765.38</v>
          </cell>
          <cell r="T14">
            <v>3925.17</v>
          </cell>
          <cell r="U14">
            <v>4366.72</v>
          </cell>
          <cell r="V14">
            <v>4742.32</v>
          </cell>
          <cell r="W14">
            <v>4878.28</v>
          </cell>
          <cell r="Y14">
            <v>9</v>
          </cell>
          <cell r="Z14">
            <v>3520.1</v>
          </cell>
          <cell r="AA14">
            <v>3765.38</v>
          </cell>
          <cell r="AB14">
            <v>3925.17</v>
          </cell>
          <cell r="AC14">
            <v>4366.72</v>
          </cell>
          <cell r="AD14">
            <v>4742.32</v>
          </cell>
          <cell r="AE14">
            <v>4878.28</v>
          </cell>
          <cell r="AG14">
            <v>9</v>
          </cell>
          <cell r="AH14">
            <v>3520.1</v>
          </cell>
          <cell r="AI14">
            <v>3765.38</v>
          </cell>
          <cell r="AJ14">
            <v>3925.17</v>
          </cell>
          <cell r="AK14">
            <v>4366.72</v>
          </cell>
          <cell r="AL14">
            <v>4742.32</v>
          </cell>
          <cell r="AM14">
            <v>4878.28</v>
          </cell>
          <cell r="AO14">
            <v>9</v>
          </cell>
          <cell r="AP14">
            <v>3520.1</v>
          </cell>
          <cell r="AQ14">
            <v>3765.38</v>
          </cell>
          <cell r="AR14">
            <v>3925.17</v>
          </cell>
          <cell r="AS14">
            <v>4366.72</v>
          </cell>
          <cell r="AT14">
            <v>4742.32</v>
          </cell>
          <cell r="AU14">
            <v>4878.28</v>
          </cell>
        </row>
        <row r="15">
          <cell r="A15" t="str">
            <v>9 K</v>
          </cell>
          <cell r="B15">
            <v>3520.1</v>
          </cell>
          <cell r="C15">
            <v>3765.38</v>
          </cell>
          <cell r="D15">
            <v>3818.66</v>
          </cell>
          <cell r="E15">
            <v>3925.17</v>
          </cell>
          <cell r="F15">
            <v>4366.72</v>
          </cell>
          <cell r="G15">
            <v>4490.04</v>
          </cell>
          <cell r="I15" t="str">
            <v>9 K</v>
          </cell>
          <cell r="J15">
            <v>3520.1</v>
          </cell>
          <cell r="K15">
            <v>3765.38</v>
          </cell>
          <cell r="L15">
            <v>3818.66</v>
          </cell>
          <cell r="M15">
            <v>3925.17</v>
          </cell>
          <cell r="N15">
            <v>4366.72</v>
          </cell>
          <cell r="O15">
            <v>4490.04</v>
          </cell>
          <cell r="Q15" t="str">
            <v>9 K</v>
          </cell>
          <cell r="R15">
            <v>3520.1</v>
          </cell>
          <cell r="S15">
            <v>3765.38</v>
          </cell>
          <cell r="T15">
            <v>3818.66</v>
          </cell>
          <cell r="U15">
            <v>3925.17</v>
          </cell>
          <cell r="V15">
            <v>4366.72</v>
          </cell>
          <cell r="W15">
            <v>4490.04</v>
          </cell>
          <cell r="Y15" t="str">
            <v>9 K</v>
          </cell>
          <cell r="Z15">
            <v>3520.1</v>
          </cell>
          <cell r="AA15">
            <v>3765.38</v>
          </cell>
          <cell r="AB15">
            <v>3818.66</v>
          </cell>
          <cell r="AC15">
            <v>3925.17</v>
          </cell>
          <cell r="AD15">
            <v>4366.72</v>
          </cell>
          <cell r="AE15">
            <v>4490.04</v>
          </cell>
          <cell r="AG15" t="str">
            <v>9 K</v>
          </cell>
          <cell r="AH15">
            <v>3520.1</v>
          </cell>
          <cell r="AI15">
            <v>3765.38</v>
          </cell>
          <cell r="AJ15">
            <v>3818.66</v>
          </cell>
          <cell r="AK15">
            <v>3925.17</v>
          </cell>
          <cell r="AL15">
            <v>4366.72</v>
          </cell>
          <cell r="AM15">
            <v>4490.04</v>
          </cell>
          <cell r="AO15" t="str">
            <v>9 K</v>
          </cell>
          <cell r="AP15">
            <v>3520.1</v>
          </cell>
          <cell r="AQ15">
            <v>3765.38</v>
          </cell>
          <cell r="AR15">
            <v>3818.66</v>
          </cell>
          <cell r="AS15">
            <v>3925.17</v>
          </cell>
          <cell r="AT15">
            <v>4366.72</v>
          </cell>
          <cell r="AU15">
            <v>4490.04</v>
          </cell>
        </row>
        <row r="16">
          <cell r="A16">
            <v>8</v>
          </cell>
          <cell r="B16">
            <v>3319.52</v>
          </cell>
          <cell r="C16">
            <v>3559.02</v>
          </cell>
          <cell r="D16">
            <v>3692.14</v>
          </cell>
          <cell r="E16">
            <v>3818.66</v>
          </cell>
          <cell r="F16">
            <v>3958.47</v>
          </cell>
          <cell r="G16">
            <v>4045.01</v>
          </cell>
          <cell r="I16">
            <v>8</v>
          </cell>
          <cell r="J16">
            <v>3319.52</v>
          </cell>
          <cell r="K16">
            <v>3559.02</v>
          </cell>
          <cell r="L16">
            <v>3692.14</v>
          </cell>
          <cell r="M16">
            <v>3818.66</v>
          </cell>
          <cell r="N16">
            <v>3958.47</v>
          </cell>
          <cell r="O16">
            <v>4045.01</v>
          </cell>
          <cell r="Q16">
            <v>8</v>
          </cell>
          <cell r="R16">
            <v>3319.52</v>
          </cell>
          <cell r="S16">
            <v>3559.02</v>
          </cell>
          <cell r="T16">
            <v>3692.14</v>
          </cell>
          <cell r="U16">
            <v>3818.66</v>
          </cell>
          <cell r="V16">
            <v>3958.47</v>
          </cell>
          <cell r="W16">
            <v>4045.01</v>
          </cell>
          <cell r="Y16">
            <v>8</v>
          </cell>
          <cell r="Z16">
            <v>3319.52</v>
          </cell>
          <cell r="AA16">
            <v>3559.02</v>
          </cell>
          <cell r="AB16">
            <v>3692.14</v>
          </cell>
          <cell r="AC16">
            <v>3818.66</v>
          </cell>
          <cell r="AD16">
            <v>3958.47</v>
          </cell>
          <cell r="AE16">
            <v>4045.01</v>
          </cell>
          <cell r="AG16">
            <v>8</v>
          </cell>
          <cell r="AH16">
            <v>3319.52</v>
          </cell>
          <cell r="AI16">
            <v>3559.02</v>
          </cell>
          <cell r="AJ16">
            <v>3692.14</v>
          </cell>
          <cell r="AK16">
            <v>3818.66</v>
          </cell>
          <cell r="AL16">
            <v>3958.47</v>
          </cell>
          <cell r="AM16">
            <v>4045.01</v>
          </cell>
          <cell r="AO16">
            <v>8</v>
          </cell>
          <cell r="AP16">
            <v>3319.52</v>
          </cell>
          <cell r="AQ16">
            <v>3559.02</v>
          </cell>
          <cell r="AR16">
            <v>3692.14</v>
          </cell>
          <cell r="AS16">
            <v>3818.66</v>
          </cell>
          <cell r="AT16">
            <v>3958.47</v>
          </cell>
          <cell r="AU16">
            <v>4045.01</v>
          </cell>
        </row>
        <row r="17">
          <cell r="A17">
            <v>7</v>
          </cell>
          <cell r="B17">
            <v>3135.83</v>
          </cell>
          <cell r="C17">
            <v>3369.72</v>
          </cell>
          <cell r="D17">
            <v>3545.69</v>
          </cell>
          <cell r="E17">
            <v>3678.84</v>
          </cell>
          <cell r="F17">
            <v>3785.37</v>
          </cell>
          <cell r="G17">
            <v>3878.56</v>
          </cell>
          <cell r="I17">
            <v>7</v>
          </cell>
          <cell r="J17">
            <v>3135.83</v>
          </cell>
          <cell r="K17">
            <v>3369.72</v>
          </cell>
          <cell r="L17">
            <v>3545.69</v>
          </cell>
          <cell r="M17">
            <v>3678.84</v>
          </cell>
          <cell r="N17">
            <v>3785.37</v>
          </cell>
          <cell r="O17">
            <v>3878.56</v>
          </cell>
          <cell r="Q17">
            <v>7</v>
          </cell>
          <cell r="R17">
            <v>3135.83</v>
          </cell>
          <cell r="S17">
            <v>3369.72</v>
          </cell>
          <cell r="T17">
            <v>3545.69</v>
          </cell>
          <cell r="U17">
            <v>3678.84</v>
          </cell>
          <cell r="V17">
            <v>3785.37</v>
          </cell>
          <cell r="W17">
            <v>3878.56</v>
          </cell>
          <cell r="Y17">
            <v>7</v>
          </cell>
          <cell r="Z17">
            <v>3135.83</v>
          </cell>
          <cell r="AA17">
            <v>3369.72</v>
          </cell>
          <cell r="AB17">
            <v>3545.69</v>
          </cell>
          <cell r="AC17">
            <v>3678.84</v>
          </cell>
          <cell r="AD17">
            <v>3785.37</v>
          </cell>
          <cell r="AE17">
            <v>3878.56</v>
          </cell>
          <cell r="AG17">
            <v>7</v>
          </cell>
          <cell r="AH17">
            <v>3135.83</v>
          </cell>
          <cell r="AI17">
            <v>3369.72</v>
          </cell>
          <cell r="AJ17">
            <v>3545.69</v>
          </cell>
          <cell r="AK17">
            <v>3678.84</v>
          </cell>
          <cell r="AL17">
            <v>3785.37</v>
          </cell>
          <cell r="AM17">
            <v>3878.56</v>
          </cell>
          <cell r="AO17">
            <v>7</v>
          </cell>
          <cell r="AP17">
            <v>3135.83</v>
          </cell>
          <cell r="AQ17">
            <v>3369.72</v>
          </cell>
          <cell r="AR17">
            <v>3545.69</v>
          </cell>
          <cell r="AS17">
            <v>3678.84</v>
          </cell>
          <cell r="AT17">
            <v>3785.37</v>
          </cell>
          <cell r="AU17">
            <v>3878.56</v>
          </cell>
        </row>
        <row r="18">
          <cell r="A18">
            <v>6</v>
          </cell>
          <cell r="B18">
            <v>3086.57</v>
          </cell>
          <cell r="C18">
            <v>3318.08</v>
          </cell>
          <cell r="D18">
            <v>3447.2</v>
          </cell>
          <cell r="E18">
            <v>3578.99</v>
          </cell>
          <cell r="F18">
            <v>3665.52</v>
          </cell>
          <cell r="G18">
            <v>3758.72</v>
          </cell>
          <cell r="I18">
            <v>6</v>
          </cell>
          <cell r="J18">
            <v>3086.57</v>
          </cell>
          <cell r="K18">
            <v>3318.08</v>
          </cell>
          <cell r="L18">
            <v>3447.2</v>
          </cell>
          <cell r="M18">
            <v>3578.99</v>
          </cell>
          <cell r="N18">
            <v>3665.52</v>
          </cell>
          <cell r="O18">
            <v>3758.72</v>
          </cell>
          <cell r="Q18">
            <v>6</v>
          </cell>
          <cell r="R18">
            <v>3086.57</v>
          </cell>
          <cell r="S18">
            <v>3318.08</v>
          </cell>
          <cell r="T18">
            <v>3447.2</v>
          </cell>
          <cell r="U18">
            <v>3578.99</v>
          </cell>
          <cell r="V18">
            <v>3665.52</v>
          </cell>
          <cell r="W18">
            <v>3758.72</v>
          </cell>
          <cell r="Y18">
            <v>6</v>
          </cell>
          <cell r="Z18">
            <v>3086.57</v>
          </cell>
          <cell r="AA18">
            <v>3318.08</v>
          </cell>
          <cell r="AB18">
            <v>3447.2</v>
          </cell>
          <cell r="AC18">
            <v>3578.99</v>
          </cell>
          <cell r="AD18">
            <v>3665.52</v>
          </cell>
          <cell r="AE18">
            <v>3758.72</v>
          </cell>
          <cell r="AG18">
            <v>6</v>
          </cell>
          <cell r="AH18">
            <v>3086.57</v>
          </cell>
          <cell r="AI18">
            <v>3318.08</v>
          </cell>
          <cell r="AJ18">
            <v>3447.2</v>
          </cell>
          <cell r="AK18">
            <v>3578.99</v>
          </cell>
          <cell r="AL18">
            <v>3665.52</v>
          </cell>
          <cell r="AM18">
            <v>3758.72</v>
          </cell>
          <cell r="AO18">
            <v>6</v>
          </cell>
          <cell r="AP18">
            <v>3086.57</v>
          </cell>
          <cell r="AQ18">
            <v>3318.08</v>
          </cell>
          <cell r="AR18">
            <v>3447.2</v>
          </cell>
          <cell r="AS18">
            <v>3578.99</v>
          </cell>
          <cell r="AT18">
            <v>3665.52</v>
          </cell>
          <cell r="AU18">
            <v>3758.72</v>
          </cell>
        </row>
        <row r="19">
          <cell r="A19">
            <v>5</v>
          </cell>
          <cell r="B19">
            <v>2973.97</v>
          </cell>
          <cell r="C19">
            <v>3201.87</v>
          </cell>
          <cell r="D19">
            <v>3330.99</v>
          </cell>
          <cell r="E19">
            <v>3453.66</v>
          </cell>
          <cell r="F19">
            <v>3552.34</v>
          </cell>
          <cell r="G19">
            <v>3618.92</v>
          </cell>
          <cell r="I19">
            <v>5</v>
          </cell>
          <cell r="J19">
            <v>2973.97</v>
          </cell>
          <cell r="K19">
            <v>3201.87</v>
          </cell>
          <cell r="L19">
            <v>3330.99</v>
          </cell>
          <cell r="M19">
            <v>3453.66</v>
          </cell>
          <cell r="N19">
            <v>3552.34</v>
          </cell>
          <cell r="O19">
            <v>3618.92</v>
          </cell>
          <cell r="Q19">
            <v>5</v>
          </cell>
          <cell r="R19">
            <v>2973.97</v>
          </cell>
          <cell r="S19">
            <v>3201.87</v>
          </cell>
          <cell r="T19">
            <v>3330.99</v>
          </cell>
          <cell r="U19">
            <v>3453.66</v>
          </cell>
          <cell r="V19">
            <v>3552.34</v>
          </cell>
          <cell r="W19">
            <v>3618.92</v>
          </cell>
          <cell r="Y19">
            <v>5</v>
          </cell>
          <cell r="Z19">
            <v>2973.97</v>
          </cell>
          <cell r="AA19">
            <v>3201.87</v>
          </cell>
          <cell r="AB19">
            <v>3330.99</v>
          </cell>
          <cell r="AC19">
            <v>3453.66</v>
          </cell>
          <cell r="AD19">
            <v>3552.34</v>
          </cell>
          <cell r="AE19">
            <v>3618.92</v>
          </cell>
          <cell r="AG19">
            <v>5</v>
          </cell>
          <cell r="AH19">
            <v>2973.97</v>
          </cell>
          <cell r="AI19">
            <v>3201.87</v>
          </cell>
          <cell r="AJ19">
            <v>3330.99</v>
          </cell>
          <cell r="AK19">
            <v>3453.66</v>
          </cell>
          <cell r="AL19">
            <v>3552.34</v>
          </cell>
          <cell r="AM19">
            <v>3618.92</v>
          </cell>
          <cell r="AO19">
            <v>5</v>
          </cell>
          <cell r="AP19">
            <v>2973.97</v>
          </cell>
          <cell r="AQ19">
            <v>3201.87</v>
          </cell>
          <cell r="AR19">
            <v>3330.99</v>
          </cell>
          <cell r="AS19">
            <v>3453.66</v>
          </cell>
          <cell r="AT19">
            <v>3552.34</v>
          </cell>
          <cell r="AU19">
            <v>3618.92</v>
          </cell>
        </row>
        <row r="20">
          <cell r="A20">
            <v>4</v>
          </cell>
          <cell r="B20">
            <v>2849.24</v>
          </cell>
          <cell r="C20">
            <v>3079.22</v>
          </cell>
          <cell r="D20">
            <v>3240.61</v>
          </cell>
          <cell r="E20">
            <v>3330.99</v>
          </cell>
          <cell r="F20">
            <v>3421.39</v>
          </cell>
          <cell r="G20">
            <v>3479.47</v>
          </cell>
          <cell r="I20">
            <v>4</v>
          </cell>
          <cell r="J20">
            <v>2849.24</v>
          </cell>
          <cell r="K20">
            <v>3079.22</v>
          </cell>
          <cell r="L20">
            <v>3240.61</v>
          </cell>
          <cell r="M20">
            <v>3330.99</v>
          </cell>
          <cell r="N20">
            <v>3421.39</v>
          </cell>
          <cell r="O20">
            <v>3479.47</v>
          </cell>
          <cell r="Q20">
            <v>4</v>
          </cell>
          <cell r="R20">
            <v>2849.24</v>
          </cell>
          <cell r="S20">
            <v>3079.22</v>
          </cell>
          <cell r="T20">
            <v>3240.61</v>
          </cell>
          <cell r="U20">
            <v>3330.99</v>
          </cell>
          <cell r="V20">
            <v>3421.39</v>
          </cell>
          <cell r="W20">
            <v>3479.47</v>
          </cell>
          <cell r="Y20">
            <v>4</v>
          </cell>
          <cell r="Z20">
            <v>2849.24</v>
          </cell>
          <cell r="AA20">
            <v>3079.22</v>
          </cell>
          <cell r="AB20">
            <v>3240.61</v>
          </cell>
          <cell r="AC20">
            <v>3330.99</v>
          </cell>
          <cell r="AD20">
            <v>3421.39</v>
          </cell>
          <cell r="AE20">
            <v>3479.47</v>
          </cell>
          <cell r="AG20">
            <v>4</v>
          </cell>
          <cell r="AH20">
            <v>2849.24</v>
          </cell>
          <cell r="AI20">
            <v>3079.22</v>
          </cell>
          <cell r="AJ20">
            <v>3240.61</v>
          </cell>
          <cell r="AK20">
            <v>3330.99</v>
          </cell>
          <cell r="AL20">
            <v>3421.39</v>
          </cell>
          <cell r="AM20">
            <v>3479.47</v>
          </cell>
          <cell r="AO20">
            <v>4</v>
          </cell>
          <cell r="AP20">
            <v>2849.24</v>
          </cell>
          <cell r="AQ20">
            <v>3079.22</v>
          </cell>
          <cell r="AR20">
            <v>3240.61</v>
          </cell>
          <cell r="AS20">
            <v>3330.99</v>
          </cell>
          <cell r="AT20">
            <v>3421.39</v>
          </cell>
          <cell r="AU20">
            <v>3479.47</v>
          </cell>
        </row>
        <row r="21">
          <cell r="A21">
            <v>3</v>
          </cell>
          <cell r="B21">
            <v>2815.57</v>
          </cell>
          <cell r="C21">
            <v>3040.47</v>
          </cell>
          <cell r="D21">
            <v>3105.03</v>
          </cell>
          <cell r="E21">
            <v>3208.32</v>
          </cell>
          <cell r="F21">
            <v>3292.25</v>
          </cell>
          <cell r="G21">
            <v>3363.27</v>
          </cell>
          <cell r="I21">
            <v>3</v>
          </cell>
          <cell r="J21">
            <v>2815.57</v>
          </cell>
          <cell r="K21">
            <v>3040.47</v>
          </cell>
          <cell r="L21">
            <v>3105.03</v>
          </cell>
          <cell r="M21">
            <v>3208.32</v>
          </cell>
          <cell r="N21">
            <v>3292.25</v>
          </cell>
          <cell r="O21">
            <v>3363.27</v>
          </cell>
          <cell r="Q21">
            <v>3</v>
          </cell>
          <cell r="R21">
            <v>2815.57</v>
          </cell>
          <cell r="S21">
            <v>3040.47</v>
          </cell>
          <cell r="T21">
            <v>3105.03</v>
          </cell>
          <cell r="U21">
            <v>3208.32</v>
          </cell>
          <cell r="V21">
            <v>3292.25</v>
          </cell>
          <cell r="W21">
            <v>3363.27</v>
          </cell>
          <cell r="Y21">
            <v>3</v>
          </cell>
          <cell r="Z21">
            <v>2815.57</v>
          </cell>
          <cell r="AA21">
            <v>3040.47</v>
          </cell>
          <cell r="AB21">
            <v>3105.03</v>
          </cell>
          <cell r="AC21">
            <v>3208.32</v>
          </cell>
          <cell r="AD21">
            <v>3292.25</v>
          </cell>
          <cell r="AE21">
            <v>3363.27</v>
          </cell>
          <cell r="AG21">
            <v>3</v>
          </cell>
          <cell r="AH21">
            <v>2815.57</v>
          </cell>
          <cell r="AI21">
            <v>3040.47</v>
          </cell>
          <cell r="AJ21">
            <v>3105.03</v>
          </cell>
          <cell r="AK21">
            <v>3208.32</v>
          </cell>
          <cell r="AL21">
            <v>3292.25</v>
          </cell>
          <cell r="AM21">
            <v>3363.27</v>
          </cell>
          <cell r="AO21">
            <v>3</v>
          </cell>
          <cell r="AP21">
            <v>2815.57</v>
          </cell>
          <cell r="AQ21">
            <v>3040.47</v>
          </cell>
          <cell r="AR21">
            <v>3105.03</v>
          </cell>
          <cell r="AS21">
            <v>3208.32</v>
          </cell>
          <cell r="AT21">
            <v>3292.25</v>
          </cell>
          <cell r="AU21">
            <v>3363.27</v>
          </cell>
        </row>
        <row r="22">
          <cell r="A22" t="str">
            <v>2 Ü</v>
          </cell>
          <cell r="B22">
            <v>2711.2</v>
          </cell>
          <cell r="C22">
            <v>2930.72</v>
          </cell>
          <cell r="D22">
            <v>3014.64</v>
          </cell>
          <cell r="E22">
            <v>3117.96</v>
          </cell>
          <cell r="F22">
            <v>3188.97</v>
          </cell>
          <cell r="G22">
            <v>3285.81</v>
          </cell>
          <cell r="I22" t="str">
            <v>2 Ü</v>
          </cell>
          <cell r="J22">
            <v>2711.2</v>
          </cell>
          <cell r="K22">
            <v>2930.72</v>
          </cell>
          <cell r="L22">
            <v>3014.64</v>
          </cell>
          <cell r="M22">
            <v>3117.96</v>
          </cell>
          <cell r="N22">
            <v>3188.97</v>
          </cell>
          <cell r="O22">
            <v>3285.81</v>
          </cell>
          <cell r="Q22" t="str">
            <v>2 Ü</v>
          </cell>
          <cell r="R22">
            <v>2711.2</v>
          </cell>
          <cell r="S22">
            <v>2930.72</v>
          </cell>
          <cell r="T22">
            <v>3014.64</v>
          </cell>
          <cell r="U22">
            <v>3117.96</v>
          </cell>
          <cell r="V22">
            <v>3188.97</v>
          </cell>
          <cell r="W22">
            <v>3285.81</v>
          </cell>
          <cell r="Y22" t="str">
            <v>2 Ü</v>
          </cell>
          <cell r="Z22">
            <v>2711.2</v>
          </cell>
          <cell r="AA22">
            <v>2930.72</v>
          </cell>
          <cell r="AB22">
            <v>3014.64</v>
          </cell>
          <cell r="AC22">
            <v>3117.96</v>
          </cell>
          <cell r="AD22">
            <v>3188.97</v>
          </cell>
          <cell r="AE22">
            <v>3285.81</v>
          </cell>
          <cell r="AG22" t="str">
            <v>2 Ü</v>
          </cell>
          <cell r="AH22">
            <v>2711.2</v>
          </cell>
          <cell r="AI22">
            <v>2930.72</v>
          </cell>
          <cell r="AJ22">
            <v>3014.64</v>
          </cell>
          <cell r="AK22">
            <v>3117.96</v>
          </cell>
          <cell r="AL22">
            <v>3188.97</v>
          </cell>
          <cell r="AM22">
            <v>3285.81</v>
          </cell>
          <cell r="AO22" t="str">
            <v>2 Ü</v>
          </cell>
          <cell r="AP22">
            <v>2711.2</v>
          </cell>
          <cell r="AQ22">
            <v>2930.72</v>
          </cell>
          <cell r="AR22">
            <v>3014.64</v>
          </cell>
          <cell r="AS22">
            <v>3117.96</v>
          </cell>
          <cell r="AT22">
            <v>3188.97</v>
          </cell>
          <cell r="AU22">
            <v>3285.81</v>
          </cell>
        </row>
        <row r="23">
          <cell r="A23">
            <v>2</v>
          </cell>
          <cell r="B23">
            <v>2642.84</v>
          </cell>
          <cell r="C23">
            <v>2853.24</v>
          </cell>
          <cell r="D23">
            <v>2917.8</v>
          </cell>
          <cell r="E23">
            <v>2982.36</v>
          </cell>
          <cell r="F23">
            <v>3130.84</v>
          </cell>
          <cell r="G23">
            <v>3285.81</v>
          </cell>
          <cell r="I23">
            <v>2</v>
          </cell>
          <cell r="J23">
            <v>2642.84</v>
          </cell>
          <cell r="K23">
            <v>2853.24</v>
          </cell>
          <cell r="L23">
            <v>2917.8</v>
          </cell>
          <cell r="M23">
            <v>2982.36</v>
          </cell>
          <cell r="N23">
            <v>3130.84</v>
          </cell>
          <cell r="O23">
            <v>3285.81</v>
          </cell>
          <cell r="Q23">
            <v>2</v>
          </cell>
          <cell r="R23">
            <v>2642.84</v>
          </cell>
          <cell r="S23">
            <v>2853.24</v>
          </cell>
          <cell r="T23">
            <v>2917.8</v>
          </cell>
          <cell r="U23">
            <v>2982.36</v>
          </cell>
          <cell r="V23">
            <v>3130.84</v>
          </cell>
          <cell r="W23">
            <v>3285.81</v>
          </cell>
          <cell r="Y23">
            <v>2</v>
          </cell>
          <cell r="Z23">
            <v>2642.84</v>
          </cell>
          <cell r="AA23">
            <v>2853.24</v>
          </cell>
          <cell r="AB23">
            <v>2917.8</v>
          </cell>
          <cell r="AC23">
            <v>2982.36</v>
          </cell>
          <cell r="AD23">
            <v>3130.84</v>
          </cell>
          <cell r="AE23">
            <v>3285.81</v>
          </cell>
          <cell r="AG23">
            <v>2</v>
          </cell>
          <cell r="AH23">
            <v>2642.84</v>
          </cell>
          <cell r="AI23">
            <v>2853.24</v>
          </cell>
          <cell r="AJ23">
            <v>2917.8</v>
          </cell>
          <cell r="AK23">
            <v>2982.36</v>
          </cell>
          <cell r="AL23">
            <v>3130.84</v>
          </cell>
          <cell r="AM23">
            <v>3285.81</v>
          </cell>
          <cell r="AO23">
            <v>2</v>
          </cell>
          <cell r="AP23">
            <v>2642.84</v>
          </cell>
          <cell r="AQ23">
            <v>2853.24</v>
          </cell>
          <cell r="AR23">
            <v>2917.8</v>
          </cell>
          <cell r="AS23">
            <v>2982.36</v>
          </cell>
          <cell r="AT23">
            <v>3130.84</v>
          </cell>
          <cell r="AU23">
            <v>3285.81</v>
          </cell>
        </row>
        <row r="24">
          <cell r="A24">
            <v>1</v>
          </cell>
          <cell r="B24">
            <v>0</v>
          </cell>
          <cell r="C24">
            <v>2434.4899999999998</v>
          </cell>
          <cell r="D24">
            <v>2465.06</v>
          </cell>
          <cell r="E24">
            <v>2501.7800000000002</v>
          </cell>
          <cell r="F24">
            <v>2538.5100000000002</v>
          </cell>
          <cell r="G24">
            <v>2630.3</v>
          </cell>
          <cell r="I24">
            <v>1</v>
          </cell>
          <cell r="J24">
            <v>0</v>
          </cell>
          <cell r="K24">
            <v>2434.4899999999998</v>
          </cell>
          <cell r="L24">
            <v>2465.06</v>
          </cell>
          <cell r="M24">
            <v>2501.7800000000002</v>
          </cell>
          <cell r="N24">
            <v>2538.5100000000002</v>
          </cell>
          <cell r="O24">
            <v>2630.3</v>
          </cell>
          <cell r="Q24">
            <v>1</v>
          </cell>
          <cell r="R24">
            <v>0</v>
          </cell>
          <cell r="S24">
            <v>2434.4899999999998</v>
          </cell>
          <cell r="T24">
            <v>2465.06</v>
          </cell>
          <cell r="U24">
            <v>2501.7800000000002</v>
          </cell>
          <cell r="V24">
            <v>2538.5100000000002</v>
          </cell>
          <cell r="W24">
            <v>2630.3</v>
          </cell>
          <cell r="Y24">
            <v>1</v>
          </cell>
          <cell r="Z24">
            <v>0</v>
          </cell>
          <cell r="AA24">
            <v>2434.4899999999998</v>
          </cell>
          <cell r="AB24">
            <v>2465.06</v>
          </cell>
          <cell r="AC24">
            <v>2501.7800000000002</v>
          </cell>
          <cell r="AD24">
            <v>2538.5100000000002</v>
          </cell>
          <cell r="AE24">
            <v>2630.3</v>
          </cell>
          <cell r="AG24">
            <v>1</v>
          </cell>
          <cell r="AH24">
            <v>0</v>
          </cell>
          <cell r="AI24">
            <v>2434.4899999999998</v>
          </cell>
          <cell r="AJ24">
            <v>2465.06</v>
          </cell>
          <cell r="AK24">
            <v>2501.7800000000002</v>
          </cell>
          <cell r="AL24">
            <v>2538.5100000000002</v>
          </cell>
          <cell r="AM24">
            <v>2630.3</v>
          </cell>
          <cell r="AO24">
            <v>1</v>
          </cell>
          <cell r="AP24">
            <v>0</v>
          </cell>
          <cell r="AQ24">
            <v>2434.4899999999998</v>
          </cell>
          <cell r="AR24">
            <v>2465.06</v>
          </cell>
          <cell r="AS24">
            <v>2501.7800000000002</v>
          </cell>
          <cell r="AT24">
            <v>2538.5100000000002</v>
          </cell>
          <cell r="AU24">
            <v>2630.3</v>
          </cell>
        </row>
      </sheetData>
      <sheetData sheetId="11">
        <row r="3">
          <cell r="B3">
            <v>1</v>
          </cell>
          <cell r="C3">
            <v>2</v>
          </cell>
          <cell r="D3">
            <v>3</v>
          </cell>
          <cell r="E3">
            <v>4</v>
          </cell>
          <cell r="F3">
            <v>5</v>
          </cell>
          <cell r="G3">
            <v>6</v>
          </cell>
          <cell r="J3">
            <v>1</v>
          </cell>
          <cell r="K3">
            <v>2</v>
          </cell>
          <cell r="L3">
            <v>3</v>
          </cell>
          <cell r="M3">
            <v>4</v>
          </cell>
          <cell r="N3">
            <v>5</v>
          </cell>
          <cell r="O3">
            <v>6</v>
          </cell>
          <cell r="R3">
            <v>1</v>
          </cell>
          <cell r="S3">
            <v>2</v>
          </cell>
          <cell r="T3">
            <v>3</v>
          </cell>
          <cell r="U3">
            <v>4</v>
          </cell>
          <cell r="V3">
            <v>5</v>
          </cell>
          <cell r="W3">
            <v>6</v>
          </cell>
          <cell r="Z3">
            <v>1</v>
          </cell>
          <cell r="AA3">
            <v>2</v>
          </cell>
          <cell r="AB3">
            <v>3</v>
          </cell>
          <cell r="AC3">
            <v>4</v>
          </cell>
          <cell r="AD3">
            <v>5</v>
          </cell>
          <cell r="AE3">
            <v>6</v>
          </cell>
          <cell r="AH3">
            <v>1</v>
          </cell>
          <cell r="AI3">
            <v>2</v>
          </cell>
          <cell r="AJ3">
            <v>3</v>
          </cell>
          <cell r="AK3">
            <v>4</v>
          </cell>
          <cell r="AL3">
            <v>5</v>
          </cell>
          <cell r="AM3">
            <v>6</v>
          </cell>
          <cell r="AP3">
            <v>1</v>
          </cell>
          <cell r="AQ3">
            <v>2</v>
          </cell>
          <cell r="AR3">
            <v>3</v>
          </cell>
          <cell r="AS3">
            <v>4</v>
          </cell>
          <cell r="AT3">
            <v>5</v>
          </cell>
          <cell r="AU3">
            <v>6</v>
          </cell>
        </row>
        <row r="4">
          <cell r="A4" t="str">
            <v>15 Ü</v>
          </cell>
          <cell r="B4">
            <v>0.32529999999999998</v>
          </cell>
          <cell r="C4">
            <v>0.32529999999999998</v>
          </cell>
          <cell r="D4">
            <v>0.32529999999999998</v>
          </cell>
          <cell r="E4">
            <v>0.32529999999999998</v>
          </cell>
          <cell r="F4">
            <v>0.32529999999999998</v>
          </cell>
          <cell r="G4">
            <v>0.32529999999999998</v>
          </cell>
          <cell r="I4" t="str">
            <v>15 Ü</v>
          </cell>
          <cell r="J4">
            <v>0.32529999999999998</v>
          </cell>
          <cell r="K4">
            <v>0.32529999999999998</v>
          </cell>
          <cell r="L4">
            <v>0.32529999999999998</v>
          </cell>
          <cell r="M4">
            <v>0.32529999999999998</v>
          </cell>
          <cell r="N4">
            <v>0.32529999999999998</v>
          </cell>
          <cell r="O4">
            <v>0.32529999999999998</v>
          </cell>
          <cell r="Q4" t="str">
            <v>15 Ü</v>
          </cell>
          <cell r="R4">
            <v>0.32529999999999998</v>
          </cell>
          <cell r="S4">
            <v>0.32529999999999998</v>
          </cell>
          <cell r="T4">
            <v>0.32529999999999998</v>
          </cell>
          <cell r="U4">
            <v>0.32529999999999998</v>
          </cell>
          <cell r="V4">
            <v>0.32529999999999998</v>
          </cell>
          <cell r="W4">
            <v>0.32529999999999998</v>
          </cell>
          <cell r="Y4" t="str">
            <v>15 Ü</v>
          </cell>
          <cell r="Z4">
            <v>0.32529999999999998</v>
          </cell>
          <cell r="AA4">
            <v>0.32529999999999998</v>
          </cell>
          <cell r="AB4">
            <v>0.32529999999999998</v>
          </cell>
          <cell r="AC4">
            <v>0.32529999999999998</v>
          </cell>
          <cell r="AD4">
            <v>0.32529999999999998</v>
          </cell>
          <cell r="AE4">
            <v>0.32529999999999998</v>
          </cell>
          <cell r="AG4" t="str">
            <v>15 Ü</v>
          </cell>
          <cell r="AH4">
            <v>0.32529999999999998</v>
          </cell>
          <cell r="AI4">
            <v>0.32529999999999998</v>
          </cell>
          <cell r="AJ4">
            <v>0.32529999999999998</v>
          </cell>
          <cell r="AK4">
            <v>0.32529999999999998</v>
          </cell>
          <cell r="AL4">
            <v>0.32529999999999998</v>
          </cell>
          <cell r="AM4">
            <v>0.32529999999999998</v>
          </cell>
          <cell r="AO4" t="str">
            <v>15 Ü</v>
          </cell>
          <cell r="AP4">
            <v>0.32529999999999998</v>
          </cell>
          <cell r="AQ4">
            <v>0.32529999999999998</v>
          </cell>
          <cell r="AR4">
            <v>0.32529999999999998</v>
          </cell>
          <cell r="AS4">
            <v>0.32529999999999998</v>
          </cell>
          <cell r="AT4">
            <v>0.32529999999999998</v>
          </cell>
          <cell r="AU4">
            <v>0.32529999999999998</v>
          </cell>
        </row>
        <row r="5">
          <cell r="A5">
            <v>15</v>
          </cell>
          <cell r="B5">
            <v>0.32529999999999998</v>
          </cell>
          <cell r="C5">
            <v>0.32529999999999998</v>
          </cell>
          <cell r="D5">
            <v>0.32529999999999998</v>
          </cell>
          <cell r="E5">
            <v>0.32529999999999998</v>
          </cell>
          <cell r="F5">
            <v>0.32529999999999998</v>
          </cell>
          <cell r="G5">
            <v>0.32529999999999998</v>
          </cell>
          <cell r="I5">
            <v>15</v>
          </cell>
          <cell r="J5">
            <v>0.32529999999999998</v>
          </cell>
          <cell r="K5">
            <v>0.32529999999999998</v>
          </cell>
          <cell r="L5">
            <v>0.32529999999999998</v>
          </cell>
          <cell r="M5">
            <v>0.32529999999999998</v>
          </cell>
          <cell r="N5">
            <v>0.32529999999999998</v>
          </cell>
          <cell r="O5">
            <v>0.32529999999999998</v>
          </cell>
          <cell r="Q5">
            <v>15</v>
          </cell>
          <cell r="R5">
            <v>0.32529999999999998</v>
          </cell>
          <cell r="S5">
            <v>0.32529999999999998</v>
          </cell>
          <cell r="T5">
            <v>0.32529999999999998</v>
          </cell>
          <cell r="U5">
            <v>0.32529999999999998</v>
          </cell>
          <cell r="V5">
            <v>0.32529999999999998</v>
          </cell>
          <cell r="W5">
            <v>0.32529999999999998</v>
          </cell>
          <cell r="Y5">
            <v>15</v>
          </cell>
          <cell r="Z5">
            <v>0.32529999999999998</v>
          </cell>
          <cell r="AA5">
            <v>0.32529999999999998</v>
          </cell>
          <cell r="AB5">
            <v>0.32529999999999998</v>
          </cell>
          <cell r="AC5">
            <v>0.32529999999999998</v>
          </cell>
          <cell r="AD5">
            <v>0.32529999999999998</v>
          </cell>
          <cell r="AE5">
            <v>0.32529999999999998</v>
          </cell>
          <cell r="AG5">
            <v>15</v>
          </cell>
          <cell r="AH5">
            <v>0.32529999999999998</v>
          </cell>
          <cell r="AI5">
            <v>0.32529999999999998</v>
          </cell>
          <cell r="AJ5">
            <v>0.32529999999999998</v>
          </cell>
          <cell r="AK5">
            <v>0.32529999999999998</v>
          </cell>
          <cell r="AL5">
            <v>0.32529999999999998</v>
          </cell>
          <cell r="AM5">
            <v>0.32529999999999998</v>
          </cell>
          <cell r="AO5">
            <v>15</v>
          </cell>
          <cell r="AP5">
            <v>0.32529999999999998</v>
          </cell>
          <cell r="AQ5">
            <v>0.32529999999999998</v>
          </cell>
          <cell r="AR5">
            <v>0.32529999999999998</v>
          </cell>
          <cell r="AS5">
            <v>0.32529999999999998</v>
          </cell>
          <cell r="AT5">
            <v>0.32529999999999998</v>
          </cell>
          <cell r="AU5">
            <v>0.32529999999999998</v>
          </cell>
        </row>
        <row r="6">
          <cell r="A6">
            <v>14</v>
          </cell>
          <cell r="B6">
            <v>0.32529999999999998</v>
          </cell>
          <cell r="C6">
            <v>0.32529999999999998</v>
          </cell>
          <cell r="D6">
            <v>0.32529999999999998</v>
          </cell>
          <cell r="E6">
            <v>0.32529999999999998</v>
          </cell>
          <cell r="F6">
            <v>0.32529999999999998</v>
          </cell>
          <cell r="G6">
            <v>0.32529999999999998</v>
          </cell>
          <cell r="I6">
            <v>14</v>
          </cell>
          <cell r="J6">
            <v>0.32529999999999998</v>
          </cell>
          <cell r="K6">
            <v>0.32529999999999998</v>
          </cell>
          <cell r="L6">
            <v>0.32529999999999998</v>
          </cell>
          <cell r="M6">
            <v>0.32529999999999998</v>
          </cell>
          <cell r="N6">
            <v>0.32529999999999998</v>
          </cell>
          <cell r="O6">
            <v>0.32529999999999998</v>
          </cell>
          <cell r="Q6">
            <v>14</v>
          </cell>
          <cell r="R6">
            <v>0.32529999999999998</v>
          </cell>
          <cell r="S6">
            <v>0.32529999999999998</v>
          </cell>
          <cell r="T6">
            <v>0.32529999999999998</v>
          </cell>
          <cell r="U6">
            <v>0.32529999999999998</v>
          </cell>
          <cell r="V6">
            <v>0.32529999999999998</v>
          </cell>
          <cell r="W6">
            <v>0.32529999999999998</v>
          </cell>
          <cell r="Y6">
            <v>14</v>
          </cell>
          <cell r="Z6">
            <v>0.32529999999999998</v>
          </cell>
          <cell r="AA6">
            <v>0.32529999999999998</v>
          </cell>
          <cell r="AB6">
            <v>0.32529999999999998</v>
          </cell>
          <cell r="AC6">
            <v>0.32529999999999998</v>
          </cell>
          <cell r="AD6">
            <v>0.32529999999999998</v>
          </cell>
          <cell r="AE6">
            <v>0.32529999999999998</v>
          </cell>
          <cell r="AG6">
            <v>14</v>
          </cell>
          <cell r="AH6">
            <v>0.32529999999999998</v>
          </cell>
          <cell r="AI6">
            <v>0.32529999999999998</v>
          </cell>
          <cell r="AJ6">
            <v>0.32529999999999998</v>
          </cell>
          <cell r="AK6">
            <v>0.32529999999999998</v>
          </cell>
          <cell r="AL6">
            <v>0.32529999999999998</v>
          </cell>
          <cell r="AM6">
            <v>0.32529999999999998</v>
          </cell>
          <cell r="AO6">
            <v>14</v>
          </cell>
          <cell r="AP6">
            <v>0.32529999999999998</v>
          </cell>
          <cell r="AQ6">
            <v>0.32529999999999998</v>
          </cell>
          <cell r="AR6">
            <v>0.32529999999999998</v>
          </cell>
          <cell r="AS6">
            <v>0.32529999999999998</v>
          </cell>
          <cell r="AT6">
            <v>0.32529999999999998</v>
          </cell>
          <cell r="AU6">
            <v>0.32529999999999998</v>
          </cell>
        </row>
        <row r="7">
          <cell r="A7" t="str">
            <v>13 Ü</v>
          </cell>
          <cell r="B7">
            <v>0</v>
          </cell>
          <cell r="C7">
            <v>0.4647</v>
          </cell>
          <cell r="D7">
            <v>0.4647</v>
          </cell>
          <cell r="E7">
            <v>0.32529999999999998</v>
          </cell>
          <cell r="F7">
            <v>0.32529999999999998</v>
          </cell>
          <cell r="G7">
            <v>0.32529999999999998</v>
          </cell>
          <cell r="I7" t="str">
            <v>13 Ü</v>
          </cell>
          <cell r="J7">
            <v>0</v>
          </cell>
          <cell r="K7">
            <v>0.4647</v>
          </cell>
          <cell r="L7">
            <v>0.4647</v>
          </cell>
          <cell r="M7">
            <v>0.32529999999999998</v>
          </cell>
          <cell r="N7">
            <v>0.32529999999999998</v>
          </cell>
          <cell r="O7">
            <v>0.32529999999999998</v>
          </cell>
          <cell r="Q7" t="str">
            <v>13 Ü</v>
          </cell>
          <cell r="R7">
            <v>0</v>
          </cell>
          <cell r="S7">
            <v>0.4647</v>
          </cell>
          <cell r="T7">
            <v>0.4647</v>
          </cell>
          <cell r="U7">
            <v>0.32529999999999998</v>
          </cell>
          <cell r="V7">
            <v>0.32529999999999998</v>
          </cell>
          <cell r="W7">
            <v>0.32529999999999998</v>
          </cell>
          <cell r="Y7" t="str">
            <v>13 Ü</v>
          </cell>
          <cell r="Z7">
            <v>0</v>
          </cell>
          <cell r="AA7">
            <v>0.4647</v>
          </cell>
          <cell r="AB7">
            <v>0.4647</v>
          </cell>
          <cell r="AC7">
            <v>0.32529999999999998</v>
          </cell>
          <cell r="AD7">
            <v>0.32529999999999998</v>
          </cell>
          <cell r="AE7">
            <v>0.32529999999999998</v>
          </cell>
          <cell r="AG7" t="str">
            <v>13 Ü</v>
          </cell>
          <cell r="AH7">
            <v>0</v>
          </cell>
          <cell r="AI7">
            <v>0.4647</v>
          </cell>
          <cell r="AJ7">
            <v>0.4647</v>
          </cell>
          <cell r="AK7">
            <v>0.32529999999999998</v>
          </cell>
          <cell r="AL7">
            <v>0.32529999999999998</v>
          </cell>
          <cell r="AM7">
            <v>0.32529999999999998</v>
          </cell>
          <cell r="AO7" t="str">
            <v>13 Ü</v>
          </cell>
          <cell r="AP7">
            <v>0</v>
          </cell>
          <cell r="AQ7">
            <v>0.4647</v>
          </cell>
          <cell r="AR7">
            <v>0.4647</v>
          </cell>
          <cell r="AS7">
            <v>0.32529999999999998</v>
          </cell>
          <cell r="AT7">
            <v>0.32529999999999998</v>
          </cell>
          <cell r="AU7">
            <v>0.32529999999999998</v>
          </cell>
        </row>
        <row r="8">
          <cell r="A8">
            <v>13</v>
          </cell>
          <cell r="B8">
            <v>0.4647</v>
          </cell>
          <cell r="C8">
            <v>0.4647</v>
          </cell>
          <cell r="D8">
            <v>0.4647</v>
          </cell>
          <cell r="E8">
            <v>0.4647</v>
          </cell>
          <cell r="F8">
            <v>0.4647</v>
          </cell>
          <cell r="G8">
            <v>0.4647</v>
          </cell>
          <cell r="I8">
            <v>13</v>
          </cell>
          <cell r="J8">
            <v>0.4647</v>
          </cell>
          <cell r="K8">
            <v>0.4647</v>
          </cell>
          <cell r="L8">
            <v>0.4647</v>
          </cell>
          <cell r="M8">
            <v>0.4647</v>
          </cell>
          <cell r="N8">
            <v>0.4647</v>
          </cell>
          <cell r="O8">
            <v>0.4647</v>
          </cell>
          <cell r="Q8">
            <v>13</v>
          </cell>
          <cell r="R8">
            <v>0.4647</v>
          </cell>
          <cell r="S8">
            <v>0.4647</v>
          </cell>
          <cell r="T8">
            <v>0.4647</v>
          </cell>
          <cell r="U8">
            <v>0.4647</v>
          </cell>
          <cell r="V8">
            <v>0.4647</v>
          </cell>
          <cell r="W8">
            <v>0.4647</v>
          </cell>
          <cell r="Y8">
            <v>13</v>
          </cell>
          <cell r="Z8">
            <v>0.4647</v>
          </cell>
          <cell r="AA8">
            <v>0.4647</v>
          </cell>
          <cell r="AB8">
            <v>0.4647</v>
          </cell>
          <cell r="AC8">
            <v>0.4647</v>
          </cell>
          <cell r="AD8">
            <v>0.4647</v>
          </cell>
          <cell r="AE8">
            <v>0.4647</v>
          </cell>
          <cell r="AG8">
            <v>13</v>
          </cell>
          <cell r="AH8">
            <v>0.4647</v>
          </cell>
          <cell r="AI8">
            <v>0.4647</v>
          </cell>
          <cell r="AJ8">
            <v>0.4647</v>
          </cell>
          <cell r="AK8">
            <v>0.4647</v>
          </cell>
          <cell r="AL8">
            <v>0.4647</v>
          </cell>
          <cell r="AM8">
            <v>0.4647</v>
          </cell>
          <cell r="AO8">
            <v>13</v>
          </cell>
          <cell r="AP8">
            <v>0.4647</v>
          </cell>
          <cell r="AQ8">
            <v>0.4647</v>
          </cell>
          <cell r="AR8">
            <v>0.4647</v>
          </cell>
          <cell r="AS8">
            <v>0.4647</v>
          </cell>
          <cell r="AT8">
            <v>0.4647</v>
          </cell>
          <cell r="AU8">
            <v>0.4647</v>
          </cell>
        </row>
        <row r="9">
          <cell r="A9">
            <v>12</v>
          </cell>
          <cell r="B9">
            <v>0.4647</v>
          </cell>
          <cell r="C9">
            <v>0.4647</v>
          </cell>
          <cell r="D9">
            <v>0.4647</v>
          </cell>
          <cell r="E9">
            <v>0.4647</v>
          </cell>
          <cell r="F9">
            <v>0.4647</v>
          </cell>
          <cell r="G9">
            <v>0.4647</v>
          </cell>
          <cell r="I9">
            <v>12</v>
          </cell>
          <cell r="J9">
            <v>0.4647</v>
          </cell>
          <cell r="K9">
            <v>0.4647</v>
          </cell>
          <cell r="L9">
            <v>0.4647</v>
          </cell>
          <cell r="M9">
            <v>0.4647</v>
          </cell>
          <cell r="N9">
            <v>0.4647</v>
          </cell>
          <cell r="O9">
            <v>0.4647</v>
          </cell>
          <cell r="Q9">
            <v>12</v>
          </cell>
          <cell r="R9">
            <v>0.4647</v>
          </cell>
          <cell r="S9">
            <v>0.4647</v>
          </cell>
          <cell r="T9">
            <v>0.4647</v>
          </cell>
          <cell r="U9">
            <v>0.4647</v>
          </cell>
          <cell r="V9">
            <v>0.4647</v>
          </cell>
          <cell r="W9">
            <v>0.4647</v>
          </cell>
          <cell r="Y9">
            <v>12</v>
          </cell>
          <cell r="Z9">
            <v>0.4647</v>
          </cell>
          <cell r="AA9">
            <v>0.4647</v>
          </cell>
          <cell r="AB9">
            <v>0.4647</v>
          </cell>
          <cell r="AC9">
            <v>0.4647</v>
          </cell>
          <cell r="AD9">
            <v>0.4647</v>
          </cell>
          <cell r="AE9">
            <v>0.4647</v>
          </cell>
          <cell r="AG9">
            <v>12</v>
          </cell>
          <cell r="AH9">
            <v>0.4647</v>
          </cell>
          <cell r="AI9">
            <v>0.4647</v>
          </cell>
          <cell r="AJ9">
            <v>0.4647</v>
          </cell>
          <cell r="AK9">
            <v>0.4647</v>
          </cell>
          <cell r="AL9">
            <v>0.4647</v>
          </cell>
          <cell r="AM9">
            <v>0.4647</v>
          </cell>
          <cell r="AO9">
            <v>12</v>
          </cell>
          <cell r="AP9">
            <v>0.4647</v>
          </cell>
          <cell r="AQ9">
            <v>0.4647</v>
          </cell>
          <cell r="AR9">
            <v>0.4647</v>
          </cell>
          <cell r="AS9">
            <v>0.4647</v>
          </cell>
          <cell r="AT9">
            <v>0.4647</v>
          </cell>
          <cell r="AU9">
            <v>0.4647</v>
          </cell>
        </row>
        <row r="10">
          <cell r="A10">
            <v>11</v>
          </cell>
          <cell r="B10">
            <v>0.74350000000000005</v>
          </cell>
          <cell r="C10">
            <v>0.74350000000000005</v>
          </cell>
          <cell r="D10">
            <v>0.74350000000000005</v>
          </cell>
          <cell r="E10">
            <v>0.74350000000000005</v>
          </cell>
          <cell r="F10">
            <v>0.74350000000000005</v>
          </cell>
          <cell r="G10">
            <v>0.74350000000000005</v>
          </cell>
          <cell r="I10">
            <v>11</v>
          </cell>
          <cell r="J10">
            <v>0.74350000000000005</v>
          </cell>
          <cell r="K10">
            <v>0.74350000000000005</v>
          </cell>
          <cell r="L10">
            <v>0.74350000000000005</v>
          </cell>
          <cell r="M10">
            <v>0.74350000000000005</v>
          </cell>
          <cell r="N10">
            <v>0.74350000000000005</v>
          </cell>
          <cell r="O10">
            <v>0.74350000000000005</v>
          </cell>
          <cell r="Q10">
            <v>11</v>
          </cell>
          <cell r="R10">
            <v>0.74350000000000005</v>
          </cell>
          <cell r="S10">
            <v>0.74350000000000005</v>
          </cell>
          <cell r="T10">
            <v>0.74350000000000005</v>
          </cell>
          <cell r="U10">
            <v>0.74350000000000005</v>
          </cell>
          <cell r="V10">
            <v>0.74350000000000005</v>
          </cell>
          <cell r="W10">
            <v>0.74350000000000005</v>
          </cell>
          <cell r="Y10">
            <v>11</v>
          </cell>
          <cell r="Z10">
            <v>0.74350000000000005</v>
          </cell>
          <cell r="AA10">
            <v>0.74350000000000005</v>
          </cell>
          <cell r="AB10">
            <v>0.74350000000000005</v>
          </cell>
          <cell r="AC10">
            <v>0.74350000000000005</v>
          </cell>
          <cell r="AD10">
            <v>0.74350000000000005</v>
          </cell>
          <cell r="AE10">
            <v>0.74350000000000005</v>
          </cell>
          <cell r="AG10">
            <v>11</v>
          </cell>
          <cell r="AH10">
            <v>0.74350000000000005</v>
          </cell>
          <cell r="AI10">
            <v>0.74350000000000005</v>
          </cell>
          <cell r="AJ10">
            <v>0.74350000000000005</v>
          </cell>
          <cell r="AK10">
            <v>0.74350000000000005</v>
          </cell>
          <cell r="AL10">
            <v>0.74350000000000005</v>
          </cell>
          <cell r="AM10">
            <v>0.74350000000000005</v>
          </cell>
          <cell r="AO10">
            <v>11</v>
          </cell>
          <cell r="AP10">
            <v>0.74350000000000005</v>
          </cell>
          <cell r="AQ10">
            <v>0.74350000000000005</v>
          </cell>
          <cell r="AR10">
            <v>0.74350000000000005</v>
          </cell>
          <cell r="AS10">
            <v>0.74350000000000005</v>
          </cell>
          <cell r="AT10">
            <v>0.74350000000000005</v>
          </cell>
          <cell r="AU10">
            <v>0.74350000000000005</v>
          </cell>
        </row>
        <row r="11">
          <cell r="A11">
            <v>10</v>
          </cell>
          <cell r="B11">
            <v>0.74350000000000005</v>
          </cell>
          <cell r="C11">
            <v>0.74350000000000005</v>
          </cell>
          <cell r="D11">
            <v>0.74350000000000005</v>
          </cell>
          <cell r="E11">
            <v>0.74350000000000005</v>
          </cell>
          <cell r="F11">
            <v>0.74350000000000005</v>
          </cell>
          <cell r="G11">
            <v>0.74350000000000005</v>
          </cell>
          <cell r="I11">
            <v>10</v>
          </cell>
          <cell r="J11">
            <v>0.74350000000000005</v>
          </cell>
          <cell r="K11">
            <v>0.74350000000000005</v>
          </cell>
          <cell r="L11">
            <v>0.74350000000000005</v>
          </cell>
          <cell r="M11">
            <v>0.74350000000000005</v>
          </cell>
          <cell r="N11">
            <v>0.74350000000000005</v>
          </cell>
          <cell r="O11">
            <v>0.74350000000000005</v>
          </cell>
          <cell r="Q11">
            <v>10</v>
          </cell>
          <cell r="R11">
            <v>0.74350000000000005</v>
          </cell>
          <cell r="S11">
            <v>0.74350000000000005</v>
          </cell>
          <cell r="T11">
            <v>0.74350000000000005</v>
          </cell>
          <cell r="U11">
            <v>0.74350000000000005</v>
          </cell>
          <cell r="V11">
            <v>0.74350000000000005</v>
          </cell>
          <cell r="W11">
            <v>0.74350000000000005</v>
          </cell>
          <cell r="Y11">
            <v>10</v>
          </cell>
          <cell r="Z11">
            <v>0.74350000000000005</v>
          </cell>
          <cell r="AA11">
            <v>0.74350000000000005</v>
          </cell>
          <cell r="AB11">
            <v>0.74350000000000005</v>
          </cell>
          <cell r="AC11">
            <v>0.74350000000000005</v>
          </cell>
          <cell r="AD11">
            <v>0.74350000000000005</v>
          </cell>
          <cell r="AE11">
            <v>0.74350000000000005</v>
          </cell>
          <cell r="AG11">
            <v>10</v>
          </cell>
          <cell r="AH11">
            <v>0.74350000000000005</v>
          </cell>
          <cell r="AI11">
            <v>0.74350000000000005</v>
          </cell>
          <cell r="AJ11">
            <v>0.74350000000000005</v>
          </cell>
          <cell r="AK11">
            <v>0.74350000000000005</v>
          </cell>
          <cell r="AL11">
            <v>0.74350000000000005</v>
          </cell>
          <cell r="AM11">
            <v>0.74350000000000005</v>
          </cell>
          <cell r="AO11">
            <v>10</v>
          </cell>
          <cell r="AP11">
            <v>0.74350000000000005</v>
          </cell>
          <cell r="AQ11">
            <v>0.74350000000000005</v>
          </cell>
          <cell r="AR11">
            <v>0.74350000000000005</v>
          </cell>
          <cell r="AS11">
            <v>0.74350000000000005</v>
          </cell>
          <cell r="AT11">
            <v>0.74350000000000005</v>
          </cell>
          <cell r="AU11">
            <v>0.74350000000000005</v>
          </cell>
        </row>
        <row r="12">
          <cell r="A12" t="str">
            <v>9 K</v>
          </cell>
          <cell r="B12">
            <v>0.74350000000000005</v>
          </cell>
          <cell r="C12">
            <v>0.74350000000000005</v>
          </cell>
          <cell r="D12">
            <v>0.74350000000000005</v>
          </cell>
          <cell r="E12">
            <v>0.74350000000000005</v>
          </cell>
          <cell r="F12">
            <v>0.74350000000000005</v>
          </cell>
          <cell r="G12">
            <v>0.74350000000000005</v>
          </cell>
          <cell r="I12" t="str">
            <v>9 K</v>
          </cell>
          <cell r="J12">
            <v>0.74350000000000005</v>
          </cell>
          <cell r="K12">
            <v>0.74350000000000005</v>
          </cell>
          <cell r="L12">
            <v>0.74350000000000005</v>
          </cell>
          <cell r="M12">
            <v>0.74350000000000005</v>
          </cell>
          <cell r="N12">
            <v>0.74350000000000005</v>
          </cell>
          <cell r="O12">
            <v>0.74350000000000005</v>
          </cell>
          <cell r="Q12" t="str">
            <v>9 K</v>
          </cell>
          <cell r="R12">
            <v>0.74350000000000005</v>
          </cell>
          <cell r="S12">
            <v>0.74350000000000005</v>
          </cell>
          <cell r="T12">
            <v>0.74350000000000005</v>
          </cell>
          <cell r="U12">
            <v>0.74350000000000005</v>
          </cell>
          <cell r="V12">
            <v>0.74350000000000005</v>
          </cell>
          <cell r="W12">
            <v>0.74350000000000005</v>
          </cell>
          <cell r="Y12" t="str">
            <v>9 K</v>
          </cell>
          <cell r="Z12">
            <v>0.74350000000000005</v>
          </cell>
          <cell r="AA12">
            <v>0.74350000000000005</v>
          </cell>
          <cell r="AB12">
            <v>0.74350000000000005</v>
          </cell>
          <cell r="AC12">
            <v>0.74350000000000005</v>
          </cell>
          <cell r="AD12">
            <v>0.74350000000000005</v>
          </cell>
          <cell r="AE12">
            <v>0.74350000000000005</v>
          </cell>
          <cell r="AG12" t="str">
            <v>9 K</v>
          </cell>
          <cell r="AH12">
            <v>0.74350000000000005</v>
          </cell>
          <cell r="AI12">
            <v>0.74350000000000005</v>
          </cell>
          <cell r="AJ12">
            <v>0.74350000000000005</v>
          </cell>
          <cell r="AK12">
            <v>0.74350000000000005</v>
          </cell>
          <cell r="AL12">
            <v>0.74350000000000005</v>
          </cell>
          <cell r="AM12">
            <v>0.74350000000000005</v>
          </cell>
          <cell r="AO12" t="str">
            <v>9 K</v>
          </cell>
          <cell r="AP12">
            <v>0.74350000000000005</v>
          </cell>
          <cell r="AQ12">
            <v>0.74350000000000005</v>
          </cell>
          <cell r="AR12">
            <v>0.74350000000000005</v>
          </cell>
          <cell r="AS12">
            <v>0.74350000000000005</v>
          </cell>
          <cell r="AT12">
            <v>0.74350000000000005</v>
          </cell>
          <cell r="AU12">
            <v>0.74350000000000005</v>
          </cell>
        </row>
        <row r="13">
          <cell r="A13">
            <v>9</v>
          </cell>
          <cell r="B13">
            <v>0.74350000000000005</v>
          </cell>
          <cell r="C13">
            <v>0.74350000000000005</v>
          </cell>
          <cell r="D13">
            <v>0.74350000000000005</v>
          </cell>
          <cell r="E13">
            <v>0.74350000000000005</v>
          </cell>
          <cell r="F13">
            <v>0.74350000000000005</v>
          </cell>
          <cell r="G13">
            <v>0.74350000000000005</v>
          </cell>
          <cell r="I13">
            <v>9</v>
          </cell>
          <cell r="J13">
            <v>0.74350000000000005</v>
          </cell>
          <cell r="K13">
            <v>0.74350000000000005</v>
          </cell>
          <cell r="L13">
            <v>0.74350000000000005</v>
          </cell>
          <cell r="M13">
            <v>0.74350000000000005</v>
          </cell>
          <cell r="N13">
            <v>0.74350000000000005</v>
          </cell>
          <cell r="O13">
            <v>0.74350000000000005</v>
          </cell>
          <cell r="Q13">
            <v>9</v>
          </cell>
          <cell r="R13">
            <v>0.74350000000000005</v>
          </cell>
          <cell r="S13">
            <v>0.74350000000000005</v>
          </cell>
          <cell r="T13">
            <v>0.74350000000000005</v>
          </cell>
          <cell r="U13">
            <v>0.74350000000000005</v>
          </cell>
          <cell r="V13">
            <v>0.74350000000000005</v>
          </cell>
          <cell r="W13">
            <v>0.74350000000000005</v>
          </cell>
          <cell r="Y13">
            <v>9</v>
          </cell>
          <cell r="Z13">
            <v>0.74350000000000005</v>
          </cell>
          <cell r="AA13">
            <v>0.74350000000000005</v>
          </cell>
          <cell r="AB13">
            <v>0.74350000000000005</v>
          </cell>
          <cell r="AC13">
            <v>0.74350000000000005</v>
          </cell>
          <cell r="AD13">
            <v>0.74350000000000005</v>
          </cell>
          <cell r="AE13">
            <v>0.74350000000000005</v>
          </cell>
          <cell r="AG13">
            <v>9</v>
          </cell>
          <cell r="AH13">
            <v>0.74350000000000005</v>
          </cell>
          <cell r="AI13">
            <v>0.74350000000000005</v>
          </cell>
          <cell r="AJ13">
            <v>0.74350000000000005</v>
          </cell>
          <cell r="AK13">
            <v>0.74350000000000005</v>
          </cell>
          <cell r="AL13">
            <v>0.74350000000000005</v>
          </cell>
          <cell r="AM13">
            <v>0.74350000000000005</v>
          </cell>
          <cell r="AO13">
            <v>9</v>
          </cell>
          <cell r="AP13">
            <v>0.74350000000000005</v>
          </cell>
          <cell r="AQ13">
            <v>0.74350000000000005</v>
          </cell>
          <cell r="AR13">
            <v>0.74350000000000005</v>
          </cell>
          <cell r="AS13">
            <v>0.74350000000000005</v>
          </cell>
          <cell r="AT13">
            <v>0.74350000000000005</v>
          </cell>
          <cell r="AU13">
            <v>0.74350000000000005</v>
          </cell>
        </row>
        <row r="14">
          <cell r="A14">
            <v>8</v>
          </cell>
          <cell r="B14">
            <v>0.88139999999999996</v>
          </cell>
          <cell r="C14">
            <v>0.88139999999999996</v>
          </cell>
          <cell r="D14">
            <v>0.88139999999999996</v>
          </cell>
          <cell r="E14">
            <v>0.88139999999999996</v>
          </cell>
          <cell r="F14">
            <v>0.88139999999999996</v>
          </cell>
          <cell r="G14">
            <v>0.88139999999999996</v>
          </cell>
          <cell r="I14">
            <v>8</v>
          </cell>
          <cell r="J14">
            <v>0.88139999999999996</v>
          </cell>
          <cell r="K14">
            <v>0.88139999999999996</v>
          </cell>
          <cell r="L14">
            <v>0.88139999999999996</v>
          </cell>
          <cell r="M14">
            <v>0.88139999999999996</v>
          </cell>
          <cell r="N14">
            <v>0.88139999999999996</v>
          </cell>
          <cell r="O14">
            <v>0.88139999999999996</v>
          </cell>
          <cell r="Q14">
            <v>8</v>
          </cell>
          <cell r="R14">
            <v>0.88139999999999996</v>
          </cell>
          <cell r="S14">
            <v>0.88139999999999996</v>
          </cell>
          <cell r="T14">
            <v>0.88139999999999996</v>
          </cell>
          <cell r="U14">
            <v>0.88139999999999996</v>
          </cell>
          <cell r="V14">
            <v>0.88139999999999996</v>
          </cell>
          <cell r="W14">
            <v>0.88139999999999996</v>
          </cell>
          <cell r="Y14">
            <v>8</v>
          </cell>
          <cell r="Z14">
            <v>0.88139999999999996</v>
          </cell>
          <cell r="AA14">
            <v>0.88139999999999996</v>
          </cell>
          <cell r="AB14">
            <v>0.88139999999999996</v>
          </cell>
          <cell r="AC14">
            <v>0.88139999999999996</v>
          </cell>
          <cell r="AD14">
            <v>0.88139999999999996</v>
          </cell>
          <cell r="AE14">
            <v>0.88139999999999996</v>
          </cell>
          <cell r="AG14">
            <v>8</v>
          </cell>
          <cell r="AH14">
            <v>0.88139999999999996</v>
          </cell>
          <cell r="AI14">
            <v>0.88139999999999996</v>
          </cell>
          <cell r="AJ14">
            <v>0.88139999999999996</v>
          </cell>
          <cell r="AK14">
            <v>0.88139999999999996</v>
          </cell>
          <cell r="AL14">
            <v>0.88139999999999996</v>
          </cell>
          <cell r="AM14">
            <v>0.88139999999999996</v>
          </cell>
          <cell r="AO14">
            <v>8</v>
          </cell>
          <cell r="AP14">
            <v>0.88139999999999996</v>
          </cell>
          <cell r="AQ14">
            <v>0.88139999999999996</v>
          </cell>
          <cell r="AR14">
            <v>0.88139999999999996</v>
          </cell>
          <cell r="AS14">
            <v>0.88139999999999996</v>
          </cell>
          <cell r="AT14">
            <v>0.88139999999999996</v>
          </cell>
          <cell r="AU14">
            <v>0.88139999999999996</v>
          </cell>
        </row>
        <row r="15">
          <cell r="A15">
            <v>7</v>
          </cell>
          <cell r="B15">
            <v>0.88139999999999996</v>
          </cell>
          <cell r="C15">
            <v>0.88139999999999996</v>
          </cell>
          <cell r="D15">
            <v>0.88139999999999996</v>
          </cell>
          <cell r="E15">
            <v>0.88139999999999996</v>
          </cell>
          <cell r="F15">
            <v>0.88139999999999996</v>
          </cell>
          <cell r="G15">
            <v>0.88139999999999996</v>
          </cell>
          <cell r="I15">
            <v>7</v>
          </cell>
          <cell r="J15">
            <v>0.88139999999999996</v>
          </cell>
          <cell r="K15">
            <v>0.88139999999999996</v>
          </cell>
          <cell r="L15">
            <v>0.88139999999999996</v>
          </cell>
          <cell r="M15">
            <v>0.88139999999999996</v>
          </cell>
          <cell r="N15">
            <v>0.88139999999999996</v>
          </cell>
          <cell r="O15">
            <v>0.88139999999999996</v>
          </cell>
          <cell r="Q15">
            <v>7</v>
          </cell>
          <cell r="R15">
            <v>0.88139999999999996</v>
          </cell>
          <cell r="S15">
            <v>0.88139999999999996</v>
          </cell>
          <cell r="T15">
            <v>0.88139999999999996</v>
          </cell>
          <cell r="U15">
            <v>0.88139999999999996</v>
          </cell>
          <cell r="V15">
            <v>0.88139999999999996</v>
          </cell>
          <cell r="W15">
            <v>0.88139999999999996</v>
          </cell>
          <cell r="Y15">
            <v>7</v>
          </cell>
          <cell r="Z15">
            <v>0.88139999999999996</v>
          </cell>
          <cell r="AA15">
            <v>0.88139999999999996</v>
          </cell>
          <cell r="AB15">
            <v>0.88139999999999996</v>
          </cell>
          <cell r="AC15">
            <v>0.88139999999999996</v>
          </cell>
          <cell r="AD15">
            <v>0.88139999999999996</v>
          </cell>
          <cell r="AE15">
            <v>0.88139999999999996</v>
          </cell>
          <cell r="AG15">
            <v>7</v>
          </cell>
          <cell r="AH15">
            <v>0.88139999999999996</v>
          </cell>
          <cell r="AI15">
            <v>0.88139999999999996</v>
          </cell>
          <cell r="AJ15">
            <v>0.88139999999999996</v>
          </cell>
          <cell r="AK15">
            <v>0.88139999999999996</v>
          </cell>
          <cell r="AL15">
            <v>0.88139999999999996</v>
          </cell>
          <cell r="AM15">
            <v>0.88139999999999996</v>
          </cell>
          <cell r="AO15">
            <v>7</v>
          </cell>
          <cell r="AP15">
            <v>0.88139999999999996</v>
          </cell>
          <cell r="AQ15">
            <v>0.88139999999999996</v>
          </cell>
          <cell r="AR15">
            <v>0.88139999999999996</v>
          </cell>
          <cell r="AS15">
            <v>0.88139999999999996</v>
          </cell>
          <cell r="AT15">
            <v>0.88139999999999996</v>
          </cell>
          <cell r="AU15">
            <v>0.88139999999999996</v>
          </cell>
        </row>
        <row r="16">
          <cell r="A16">
            <v>6</v>
          </cell>
          <cell r="B16">
            <v>0.88139999999999996</v>
          </cell>
          <cell r="C16">
            <v>0.88139999999999996</v>
          </cell>
          <cell r="D16">
            <v>0.88139999999999996</v>
          </cell>
          <cell r="E16">
            <v>0.88139999999999996</v>
          </cell>
          <cell r="F16">
            <v>0.88139999999999996</v>
          </cell>
          <cell r="G16">
            <v>0.88139999999999996</v>
          </cell>
          <cell r="I16">
            <v>6</v>
          </cell>
          <cell r="J16">
            <v>0.88139999999999996</v>
          </cell>
          <cell r="K16">
            <v>0.88139999999999996</v>
          </cell>
          <cell r="L16">
            <v>0.88139999999999996</v>
          </cell>
          <cell r="M16">
            <v>0.88139999999999996</v>
          </cell>
          <cell r="N16">
            <v>0.88139999999999996</v>
          </cell>
          <cell r="O16">
            <v>0.88139999999999996</v>
          </cell>
          <cell r="Q16">
            <v>6</v>
          </cell>
          <cell r="R16">
            <v>0.88139999999999996</v>
          </cell>
          <cell r="S16">
            <v>0.88139999999999996</v>
          </cell>
          <cell r="T16">
            <v>0.88139999999999996</v>
          </cell>
          <cell r="U16">
            <v>0.88139999999999996</v>
          </cell>
          <cell r="V16">
            <v>0.88139999999999996</v>
          </cell>
          <cell r="W16">
            <v>0.88139999999999996</v>
          </cell>
          <cell r="Y16">
            <v>6</v>
          </cell>
          <cell r="Z16">
            <v>0.88139999999999996</v>
          </cell>
          <cell r="AA16">
            <v>0.88139999999999996</v>
          </cell>
          <cell r="AB16">
            <v>0.88139999999999996</v>
          </cell>
          <cell r="AC16">
            <v>0.88139999999999996</v>
          </cell>
          <cell r="AD16">
            <v>0.88139999999999996</v>
          </cell>
          <cell r="AE16">
            <v>0.88139999999999996</v>
          </cell>
          <cell r="AG16">
            <v>6</v>
          </cell>
          <cell r="AH16">
            <v>0.88139999999999996</v>
          </cell>
          <cell r="AI16">
            <v>0.88139999999999996</v>
          </cell>
          <cell r="AJ16">
            <v>0.88139999999999996</v>
          </cell>
          <cell r="AK16">
            <v>0.88139999999999996</v>
          </cell>
          <cell r="AL16">
            <v>0.88139999999999996</v>
          </cell>
          <cell r="AM16">
            <v>0.88139999999999996</v>
          </cell>
          <cell r="AO16">
            <v>6</v>
          </cell>
          <cell r="AP16">
            <v>0.88139999999999996</v>
          </cell>
          <cell r="AQ16">
            <v>0.88139999999999996</v>
          </cell>
          <cell r="AR16">
            <v>0.88139999999999996</v>
          </cell>
          <cell r="AS16">
            <v>0.88139999999999996</v>
          </cell>
          <cell r="AT16">
            <v>0.88139999999999996</v>
          </cell>
          <cell r="AU16">
            <v>0.88139999999999996</v>
          </cell>
        </row>
        <row r="17">
          <cell r="A17">
            <v>5</v>
          </cell>
          <cell r="B17">
            <v>0.88139999999999996</v>
          </cell>
          <cell r="C17">
            <v>0.88139999999999996</v>
          </cell>
          <cell r="D17">
            <v>0.88139999999999996</v>
          </cell>
          <cell r="E17">
            <v>0.88139999999999996</v>
          </cell>
          <cell r="F17">
            <v>0.88139999999999996</v>
          </cell>
          <cell r="G17">
            <v>0.88139999999999996</v>
          </cell>
          <cell r="I17">
            <v>5</v>
          </cell>
          <cell r="J17">
            <v>0.88139999999999996</v>
          </cell>
          <cell r="K17">
            <v>0.88139999999999996</v>
          </cell>
          <cell r="L17">
            <v>0.88139999999999996</v>
          </cell>
          <cell r="M17">
            <v>0.88139999999999996</v>
          </cell>
          <cell r="N17">
            <v>0.88139999999999996</v>
          </cell>
          <cell r="O17">
            <v>0.88139999999999996</v>
          </cell>
          <cell r="Q17">
            <v>5</v>
          </cell>
          <cell r="R17">
            <v>0.88139999999999996</v>
          </cell>
          <cell r="S17">
            <v>0.88139999999999996</v>
          </cell>
          <cell r="T17">
            <v>0.88139999999999996</v>
          </cell>
          <cell r="U17">
            <v>0.88139999999999996</v>
          </cell>
          <cell r="V17">
            <v>0.88139999999999996</v>
          </cell>
          <cell r="W17">
            <v>0.88139999999999996</v>
          </cell>
          <cell r="Y17">
            <v>5</v>
          </cell>
          <cell r="Z17">
            <v>0.88139999999999996</v>
          </cell>
          <cell r="AA17">
            <v>0.88139999999999996</v>
          </cell>
          <cell r="AB17">
            <v>0.88139999999999996</v>
          </cell>
          <cell r="AC17">
            <v>0.88139999999999996</v>
          </cell>
          <cell r="AD17">
            <v>0.88139999999999996</v>
          </cell>
          <cell r="AE17">
            <v>0.88139999999999996</v>
          </cell>
          <cell r="AG17">
            <v>5</v>
          </cell>
          <cell r="AH17">
            <v>0.88139999999999996</v>
          </cell>
          <cell r="AI17">
            <v>0.88139999999999996</v>
          </cell>
          <cell r="AJ17">
            <v>0.88139999999999996</v>
          </cell>
          <cell r="AK17">
            <v>0.88139999999999996</v>
          </cell>
          <cell r="AL17">
            <v>0.88139999999999996</v>
          </cell>
          <cell r="AM17">
            <v>0.88139999999999996</v>
          </cell>
          <cell r="AO17">
            <v>5</v>
          </cell>
          <cell r="AP17">
            <v>0.88139999999999996</v>
          </cell>
          <cell r="AQ17">
            <v>0.88139999999999996</v>
          </cell>
          <cell r="AR17">
            <v>0.88139999999999996</v>
          </cell>
          <cell r="AS17">
            <v>0.88139999999999996</v>
          </cell>
          <cell r="AT17">
            <v>0.88139999999999996</v>
          </cell>
          <cell r="AU17">
            <v>0.88139999999999996</v>
          </cell>
        </row>
        <row r="18">
          <cell r="A18">
            <v>4</v>
          </cell>
          <cell r="B18">
            <v>0.87429999999999997</v>
          </cell>
          <cell r="C18">
            <v>0.87429999999999997</v>
          </cell>
          <cell r="D18">
            <v>0.87429999999999997</v>
          </cell>
          <cell r="E18">
            <v>0.87429999999999997</v>
          </cell>
          <cell r="F18">
            <v>0.87429999999999997</v>
          </cell>
          <cell r="G18">
            <v>0.87429999999999997</v>
          </cell>
          <cell r="I18">
            <v>4</v>
          </cell>
          <cell r="J18">
            <v>0.87429999999999997</v>
          </cell>
          <cell r="K18">
            <v>0.87429999999999997</v>
          </cell>
          <cell r="L18">
            <v>0.87429999999999997</v>
          </cell>
          <cell r="M18">
            <v>0.87429999999999997</v>
          </cell>
          <cell r="N18">
            <v>0.87429999999999997</v>
          </cell>
          <cell r="O18">
            <v>0.87429999999999997</v>
          </cell>
          <cell r="Q18">
            <v>4</v>
          </cell>
          <cell r="R18">
            <v>0.87429999999999997</v>
          </cell>
          <cell r="S18">
            <v>0.87429999999999997</v>
          </cell>
          <cell r="T18">
            <v>0.87429999999999997</v>
          </cell>
          <cell r="U18">
            <v>0.87429999999999997</v>
          </cell>
          <cell r="V18">
            <v>0.87429999999999997</v>
          </cell>
          <cell r="W18">
            <v>0.87429999999999997</v>
          </cell>
          <cell r="Y18">
            <v>4</v>
          </cell>
          <cell r="Z18">
            <v>0.87429999999999997</v>
          </cell>
          <cell r="AA18">
            <v>0.87429999999999997</v>
          </cell>
          <cell r="AB18">
            <v>0.87429999999999997</v>
          </cell>
          <cell r="AC18">
            <v>0.87429999999999997</v>
          </cell>
          <cell r="AD18">
            <v>0.87429999999999997</v>
          </cell>
          <cell r="AE18">
            <v>0.87429999999999997</v>
          </cell>
          <cell r="AG18">
            <v>4</v>
          </cell>
          <cell r="AH18">
            <v>0.87429999999999997</v>
          </cell>
          <cell r="AI18">
            <v>0.87429999999999997</v>
          </cell>
          <cell r="AJ18">
            <v>0.87429999999999997</v>
          </cell>
          <cell r="AK18">
            <v>0.87429999999999997</v>
          </cell>
          <cell r="AL18">
            <v>0.87429999999999997</v>
          </cell>
          <cell r="AM18">
            <v>0.87429999999999997</v>
          </cell>
          <cell r="AO18">
            <v>4</v>
          </cell>
          <cell r="AP18">
            <v>0.87429999999999997</v>
          </cell>
          <cell r="AQ18">
            <v>0.87429999999999997</v>
          </cell>
          <cell r="AR18">
            <v>0.87429999999999997</v>
          </cell>
          <cell r="AS18">
            <v>0.87429999999999997</v>
          </cell>
          <cell r="AT18">
            <v>0.87429999999999997</v>
          </cell>
          <cell r="AU18">
            <v>0.87429999999999997</v>
          </cell>
        </row>
        <row r="19">
          <cell r="A19">
            <v>3</v>
          </cell>
          <cell r="B19">
            <v>0.87429999999999997</v>
          </cell>
          <cell r="C19">
            <v>0.87429999999999997</v>
          </cell>
          <cell r="D19">
            <v>0.87429999999999997</v>
          </cell>
          <cell r="E19">
            <v>0.87429999999999997</v>
          </cell>
          <cell r="F19">
            <v>0.87429999999999997</v>
          </cell>
          <cell r="G19">
            <v>0.87429999999999997</v>
          </cell>
          <cell r="I19">
            <v>3</v>
          </cell>
          <cell r="J19">
            <v>0.87429999999999997</v>
          </cell>
          <cell r="K19">
            <v>0.87429999999999997</v>
          </cell>
          <cell r="L19">
            <v>0.87429999999999997</v>
          </cell>
          <cell r="M19">
            <v>0.87429999999999997</v>
          </cell>
          <cell r="N19">
            <v>0.87429999999999997</v>
          </cell>
          <cell r="O19">
            <v>0.87429999999999997</v>
          </cell>
          <cell r="Q19">
            <v>3</v>
          </cell>
          <cell r="R19">
            <v>0.87429999999999997</v>
          </cell>
          <cell r="S19">
            <v>0.87429999999999997</v>
          </cell>
          <cell r="T19">
            <v>0.87429999999999997</v>
          </cell>
          <cell r="U19">
            <v>0.87429999999999997</v>
          </cell>
          <cell r="V19">
            <v>0.87429999999999997</v>
          </cell>
          <cell r="W19">
            <v>0.87429999999999997</v>
          </cell>
          <cell r="Y19">
            <v>3</v>
          </cell>
          <cell r="Z19">
            <v>0.87429999999999997</v>
          </cell>
          <cell r="AA19">
            <v>0.87429999999999997</v>
          </cell>
          <cell r="AB19">
            <v>0.87429999999999997</v>
          </cell>
          <cell r="AC19">
            <v>0.87429999999999997</v>
          </cell>
          <cell r="AD19">
            <v>0.87429999999999997</v>
          </cell>
          <cell r="AE19">
            <v>0.87429999999999997</v>
          </cell>
          <cell r="AG19">
            <v>3</v>
          </cell>
          <cell r="AH19">
            <v>0.87429999999999997</v>
          </cell>
          <cell r="AI19">
            <v>0.87429999999999997</v>
          </cell>
          <cell r="AJ19">
            <v>0.87429999999999997</v>
          </cell>
          <cell r="AK19">
            <v>0.87429999999999997</v>
          </cell>
          <cell r="AL19">
            <v>0.87429999999999997</v>
          </cell>
          <cell r="AM19">
            <v>0.87429999999999997</v>
          </cell>
          <cell r="AO19">
            <v>3</v>
          </cell>
          <cell r="AP19">
            <v>0.87429999999999997</v>
          </cell>
          <cell r="AQ19">
            <v>0.87429999999999997</v>
          </cell>
          <cell r="AR19">
            <v>0.87429999999999997</v>
          </cell>
          <cell r="AS19">
            <v>0.87429999999999997</v>
          </cell>
          <cell r="AT19">
            <v>0.87429999999999997</v>
          </cell>
          <cell r="AU19">
            <v>0.87429999999999997</v>
          </cell>
        </row>
        <row r="20">
          <cell r="A20" t="str">
            <v>2 Ü</v>
          </cell>
          <cell r="B20">
            <v>0.87429999999999997</v>
          </cell>
          <cell r="C20">
            <v>0.87429999999999997</v>
          </cell>
          <cell r="D20">
            <v>0.87429999999999997</v>
          </cell>
          <cell r="E20">
            <v>0.87429999999999997</v>
          </cell>
          <cell r="F20">
            <v>0.87429999999999997</v>
          </cell>
          <cell r="G20">
            <v>0.87429999999999997</v>
          </cell>
          <cell r="I20" t="str">
            <v>2 Ü</v>
          </cell>
          <cell r="J20">
            <v>0.87429999999999997</v>
          </cell>
          <cell r="K20">
            <v>0.87429999999999997</v>
          </cell>
          <cell r="L20">
            <v>0.87429999999999997</v>
          </cell>
          <cell r="M20">
            <v>0.87429999999999997</v>
          </cell>
          <cell r="N20">
            <v>0.87429999999999997</v>
          </cell>
          <cell r="O20">
            <v>0.87429999999999997</v>
          </cell>
          <cell r="Q20" t="str">
            <v>2 Ü</v>
          </cell>
          <cell r="R20">
            <v>0.87429999999999997</v>
          </cell>
          <cell r="S20">
            <v>0.87429999999999997</v>
          </cell>
          <cell r="T20">
            <v>0.87429999999999997</v>
          </cell>
          <cell r="U20">
            <v>0.87429999999999997</v>
          </cell>
          <cell r="V20">
            <v>0.87429999999999997</v>
          </cell>
          <cell r="W20">
            <v>0.87429999999999997</v>
          </cell>
          <cell r="Y20" t="str">
            <v>2 Ü</v>
          </cell>
          <cell r="Z20">
            <v>0.87429999999999997</v>
          </cell>
          <cell r="AA20">
            <v>0.87429999999999997</v>
          </cell>
          <cell r="AB20">
            <v>0.87429999999999997</v>
          </cell>
          <cell r="AC20">
            <v>0.87429999999999997</v>
          </cell>
          <cell r="AD20">
            <v>0.87429999999999997</v>
          </cell>
          <cell r="AE20">
            <v>0.87429999999999997</v>
          </cell>
          <cell r="AG20" t="str">
            <v>2 Ü</v>
          </cell>
          <cell r="AH20">
            <v>0.87429999999999997</v>
          </cell>
          <cell r="AI20">
            <v>0.87429999999999997</v>
          </cell>
          <cell r="AJ20">
            <v>0.87429999999999997</v>
          </cell>
          <cell r="AK20">
            <v>0.87429999999999997</v>
          </cell>
          <cell r="AL20">
            <v>0.87429999999999997</v>
          </cell>
          <cell r="AM20">
            <v>0.87429999999999997</v>
          </cell>
          <cell r="AO20" t="str">
            <v>2 Ü</v>
          </cell>
          <cell r="AP20">
            <v>0.87429999999999997</v>
          </cell>
          <cell r="AQ20">
            <v>0.87429999999999997</v>
          </cell>
          <cell r="AR20">
            <v>0.87429999999999997</v>
          </cell>
          <cell r="AS20">
            <v>0.87429999999999997</v>
          </cell>
          <cell r="AT20">
            <v>0.87429999999999997</v>
          </cell>
          <cell r="AU20">
            <v>0.87429999999999997</v>
          </cell>
        </row>
        <row r="21">
          <cell r="A21">
            <v>2</v>
          </cell>
          <cell r="B21">
            <v>0.87429999999999997</v>
          </cell>
          <cell r="C21">
            <v>0.87429999999999997</v>
          </cell>
          <cell r="D21">
            <v>0.87429999999999997</v>
          </cell>
          <cell r="E21">
            <v>0.87429999999999997</v>
          </cell>
          <cell r="F21">
            <v>0.87429999999999997</v>
          </cell>
          <cell r="G21">
            <v>0.87429999999999997</v>
          </cell>
          <cell r="I21">
            <v>2</v>
          </cell>
          <cell r="J21">
            <v>0.87429999999999997</v>
          </cell>
          <cell r="K21">
            <v>0.87429999999999997</v>
          </cell>
          <cell r="L21">
            <v>0.87429999999999997</v>
          </cell>
          <cell r="M21">
            <v>0.87429999999999997</v>
          </cell>
          <cell r="N21">
            <v>0.87429999999999997</v>
          </cell>
          <cell r="O21">
            <v>0.87429999999999997</v>
          </cell>
          <cell r="Q21">
            <v>2</v>
          </cell>
          <cell r="R21">
            <v>0.87429999999999997</v>
          </cell>
          <cell r="S21">
            <v>0.87429999999999997</v>
          </cell>
          <cell r="T21">
            <v>0.87429999999999997</v>
          </cell>
          <cell r="U21">
            <v>0.87429999999999997</v>
          </cell>
          <cell r="V21">
            <v>0.87429999999999997</v>
          </cell>
          <cell r="W21">
            <v>0.87429999999999997</v>
          </cell>
          <cell r="Y21">
            <v>2</v>
          </cell>
          <cell r="Z21">
            <v>0.87429999999999997</v>
          </cell>
          <cell r="AA21">
            <v>0.87429999999999997</v>
          </cell>
          <cell r="AB21">
            <v>0.87429999999999997</v>
          </cell>
          <cell r="AC21">
            <v>0.87429999999999997</v>
          </cell>
          <cell r="AD21">
            <v>0.87429999999999997</v>
          </cell>
          <cell r="AE21">
            <v>0.87429999999999997</v>
          </cell>
          <cell r="AG21">
            <v>2</v>
          </cell>
          <cell r="AH21">
            <v>0.87429999999999997</v>
          </cell>
          <cell r="AI21">
            <v>0.87429999999999997</v>
          </cell>
          <cell r="AJ21">
            <v>0.87429999999999997</v>
          </cell>
          <cell r="AK21">
            <v>0.87429999999999997</v>
          </cell>
          <cell r="AL21">
            <v>0.87429999999999997</v>
          </cell>
          <cell r="AM21">
            <v>0.87429999999999997</v>
          </cell>
          <cell r="AO21">
            <v>2</v>
          </cell>
          <cell r="AP21">
            <v>0.87429999999999997</v>
          </cell>
          <cell r="AQ21">
            <v>0.87429999999999997</v>
          </cell>
          <cell r="AR21">
            <v>0.87429999999999997</v>
          </cell>
          <cell r="AS21">
            <v>0.87429999999999997</v>
          </cell>
          <cell r="AT21">
            <v>0.87429999999999997</v>
          </cell>
          <cell r="AU21">
            <v>0.87429999999999997</v>
          </cell>
        </row>
        <row r="22">
          <cell r="A22">
            <v>1</v>
          </cell>
          <cell r="B22">
            <v>0</v>
          </cell>
          <cell r="C22">
            <v>0.87429999999999997</v>
          </cell>
          <cell r="D22">
            <v>0.87429999999999997</v>
          </cell>
          <cell r="E22">
            <v>0.87429999999999997</v>
          </cell>
          <cell r="F22">
            <v>0.87429999999999997</v>
          </cell>
          <cell r="G22">
            <v>0.87429999999999997</v>
          </cell>
          <cell r="I22">
            <v>1</v>
          </cell>
          <cell r="J22">
            <v>0</v>
          </cell>
          <cell r="K22">
            <v>0.87429999999999997</v>
          </cell>
          <cell r="L22">
            <v>0.87429999999999997</v>
          </cell>
          <cell r="M22">
            <v>0.87429999999999997</v>
          </cell>
          <cell r="N22">
            <v>0.87429999999999997</v>
          </cell>
          <cell r="O22">
            <v>0.87429999999999997</v>
          </cell>
          <cell r="Q22">
            <v>1</v>
          </cell>
          <cell r="R22">
            <v>0</v>
          </cell>
          <cell r="S22">
            <v>0.87429999999999997</v>
          </cell>
          <cell r="T22">
            <v>0.87429999999999997</v>
          </cell>
          <cell r="U22">
            <v>0.87429999999999997</v>
          </cell>
          <cell r="V22">
            <v>0.87429999999999997</v>
          </cell>
          <cell r="W22">
            <v>0.87429999999999997</v>
          </cell>
          <cell r="Y22">
            <v>1</v>
          </cell>
          <cell r="Z22">
            <v>0</v>
          </cell>
          <cell r="AA22">
            <v>0.87429999999999997</v>
          </cell>
          <cell r="AB22">
            <v>0.87429999999999997</v>
          </cell>
          <cell r="AC22">
            <v>0.87429999999999997</v>
          </cell>
          <cell r="AD22">
            <v>0.87429999999999997</v>
          </cell>
          <cell r="AE22">
            <v>0.87429999999999997</v>
          </cell>
          <cell r="AG22">
            <v>1</v>
          </cell>
          <cell r="AH22">
            <v>0</v>
          </cell>
          <cell r="AI22">
            <v>0.87429999999999997</v>
          </cell>
          <cell r="AJ22">
            <v>0.87429999999999997</v>
          </cell>
          <cell r="AK22">
            <v>0.87429999999999997</v>
          </cell>
          <cell r="AL22">
            <v>0.87429999999999997</v>
          </cell>
          <cell r="AM22">
            <v>0.87429999999999997</v>
          </cell>
          <cell r="AO22">
            <v>1</v>
          </cell>
          <cell r="AP22">
            <v>0</v>
          </cell>
          <cell r="AQ22">
            <v>0.87429999999999997</v>
          </cell>
          <cell r="AR22">
            <v>0.87429999999999997</v>
          </cell>
          <cell r="AS22">
            <v>0.87429999999999997</v>
          </cell>
          <cell r="AT22">
            <v>0.87429999999999997</v>
          </cell>
          <cell r="AU22">
            <v>0.87429999999999997</v>
          </cell>
        </row>
        <row r="27">
          <cell r="B27">
            <v>39</v>
          </cell>
          <cell r="J27">
            <v>39</v>
          </cell>
          <cell r="R27">
            <v>39</v>
          </cell>
          <cell r="Z27">
            <v>39</v>
          </cell>
          <cell r="AH27">
            <v>39</v>
          </cell>
          <cell r="AP27">
            <v>39</v>
          </cell>
        </row>
        <row r="32">
          <cell r="B32">
            <v>6.4500000000000002E-2</v>
          </cell>
          <cell r="C32">
            <v>7.4999999999999997E-2</v>
          </cell>
          <cell r="D32">
            <v>0.09</v>
          </cell>
          <cell r="J32">
            <v>6.4500000000000002E-2</v>
          </cell>
          <cell r="K32">
            <v>7.4999999999999997E-2</v>
          </cell>
          <cell r="L32">
            <v>0.09</v>
          </cell>
          <cell r="R32">
            <v>6.4500000000000002E-2</v>
          </cell>
          <cell r="S32">
            <v>7.4999999999999997E-2</v>
          </cell>
          <cell r="T32">
            <v>0.09</v>
          </cell>
          <cell r="Z32">
            <v>6.4500000000000002E-2</v>
          </cell>
          <cell r="AA32">
            <v>7.4999999999999997E-2</v>
          </cell>
          <cell r="AB32">
            <v>0.09</v>
          </cell>
          <cell r="AH32">
            <v>6.4500000000000002E-2</v>
          </cell>
          <cell r="AI32">
            <v>7.4999999999999997E-2</v>
          </cell>
          <cell r="AJ32">
            <v>0.09</v>
          </cell>
          <cell r="AP32">
            <v>6.4500000000000002E-2</v>
          </cell>
          <cell r="AQ32">
            <v>7.4999999999999997E-2</v>
          </cell>
          <cell r="AR32">
            <v>0.09</v>
          </cell>
        </row>
        <row r="37">
          <cell r="B37">
            <v>18</v>
          </cell>
          <cell r="J37">
            <v>18</v>
          </cell>
          <cell r="R37">
            <v>18</v>
          </cell>
          <cell r="Z37">
            <v>18</v>
          </cell>
          <cell r="AH37">
            <v>18</v>
          </cell>
          <cell r="AP37">
            <v>18</v>
          </cell>
        </row>
        <row r="44">
          <cell r="E44">
            <v>5788.13</v>
          </cell>
          <cell r="F44">
            <v>494.89</v>
          </cell>
          <cell r="M44">
            <v>5788.13</v>
          </cell>
          <cell r="N44">
            <v>494.89</v>
          </cell>
          <cell r="U44">
            <v>5788.13</v>
          </cell>
          <cell r="V44">
            <v>494.89</v>
          </cell>
          <cell r="AC44">
            <v>5788.13</v>
          </cell>
          <cell r="AD44">
            <v>494.89</v>
          </cell>
          <cell r="AK44">
            <v>5788.13</v>
          </cell>
          <cell r="AL44">
            <v>494.89</v>
          </cell>
          <cell r="AS44">
            <v>5788.13</v>
          </cell>
          <cell r="AT44">
            <v>494.89</v>
          </cell>
        </row>
        <row r="45">
          <cell r="F45">
            <v>104.19</v>
          </cell>
          <cell r="N45">
            <v>104.19</v>
          </cell>
          <cell r="V45">
            <v>104.19</v>
          </cell>
          <cell r="AD45">
            <v>104.19</v>
          </cell>
          <cell r="AL45">
            <v>104.19</v>
          </cell>
          <cell r="AT45">
            <v>104.19</v>
          </cell>
        </row>
        <row r="46">
          <cell r="D46">
            <v>9.2999999999999999E-2</v>
          </cell>
          <cell r="E46">
            <v>8452.5</v>
          </cell>
          <cell r="L46">
            <v>9.2999999999999999E-2</v>
          </cell>
          <cell r="M46">
            <v>8452.5</v>
          </cell>
          <cell r="T46">
            <v>9.2999999999999999E-2</v>
          </cell>
          <cell r="U46">
            <v>8452.5</v>
          </cell>
          <cell r="AB46">
            <v>9.2999999999999999E-2</v>
          </cell>
          <cell r="AC46">
            <v>8452.5</v>
          </cell>
          <cell r="AJ46">
            <v>9.2999999999999999E-2</v>
          </cell>
          <cell r="AK46">
            <v>8452.5</v>
          </cell>
          <cell r="AR46">
            <v>9.2999999999999999E-2</v>
          </cell>
          <cell r="AS46">
            <v>8452.5</v>
          </cell>
        </row>
        <row r="47">
          <cell r="D47">
            <v>1.2999999999999999E-2</v>
          </cell>
          <cell r="L47">
            <v>1.2999999999999999E-2</v>
          </cell>
          <cell r="T47">
            <v>1.2999999999999999E-2</v>
          </cell>
          <cell r="AB47">
            <v>1.2999999999999999E-2</v>
          </cell>
          <cell r="AJ47">
            <v>1.2999999999999999E-2</v>
          </cell>
          <cell r="AR47">
            <v>1.2999999999999999E-2</v>
          </cell>
        </row>
        <row r="49">
          <cell r="D49">
            <v>4.4000000000000003E-3</v>
          </cell>
          <cell r="L49">
            <v>4.4000000000000003E-3</v>
          </cell>
          <cell r="T49">
            <v>4.4000000000000003E-3</v>
          </cell>
          <cell r="AB49">
            <v>4.4000000000000003E-3</v>
          </cell>
          <cell r="AJ49">
            <v>4.4000000000000003E-3</v>
          </cell>
          <cell r="AR49">
            <v>4.4000000000000003E-3</v>
          </cell>
        </row>
        <row r="50">
          <cell r="D50">
            <v>0.21390000000000001</v>
          </cell>
          <cell r="F50">
            <v>1532.23</v>
          </cell>
          <cell r="L50">
            <v>0.21390000000000001</v>
          </cell>
          <cell r="N50">
            <v>1532.23</v>
          </cell>
          <cell r="T50">
            <v>0.21390000000000001</v>
          </cell>
          <cell r="V50">
            <v>1532.23</v>
          </cell>
          <cell r="AB50">
            <v>0.21390000000000001</v>
          </cell>
          <cell r="AD50">
            <v>1532.23</v>
          </cell>
          <cell r="AJ50">
            <v>0.21390000000000001</v>
          </cell>
          <cell r="AL50">
            <v>1532.23</v>
          </cell>
          <cell r="AR50">
            <v>0.21390000000000001</v>
          </cell>
          <cell r="AT50">
            <v>1532.23</v>
          </cell>
        </row>
        <row r="57">
          <cell r="B57">
            <v>0.05</v>
          </cell>
          <cell r="J57">
            <v>9.1999999999999998E-2</v>
          </cell>
          <cell r="R57">
            <v>0.12476</v>
          </cell>
          <cell r="Z57">
            <v>0.1585</v>
          </cell>
          <cell r="AH57">
            <v>0.19325999999999999</v>
          </cell>
          <cell r="AP57">
            <v>0.22906000000000001</v>
          </cell>
        </row>
      </sheetData>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9D0E44A-F63C-4267-88AF-2D21A856EB40}" name="Tabelle1" displayName="Tabelle1" ref="A1:D7" totalsRowShown="0" dataDxfId="4">
  <autoFilter ref="A1:D7" xr:uid="{C9D0E44A-F63C-4267-88AF-2D21A856EB40}"/>
  <tableColumns count="4">
    <tableColumn id="1" xr3:uid="{F141DC12-0CB2-4F18-92FB-23C5112B266C}" name="Version" dataDxfId="3"/>
    <tableColumn id="2" xr3:uid="{0ABC9A09-3EB3-4267-8069-E44DA5A82F37}" name="Datum" dataDxfId="2"/>
    <tableColumn id="3" xr3:uid="{E9B07359-EAFC-4706-8AAF-7305111E6563}" name="Veränderungen/Bemerkungen" dataDxfId="1"/>
    <tableColumn id="4" xr3:uid="{9A386B41-676A-421F-98DF-F2167EB05E37}" name="Autor:in" dataDxfId="0"/>
  </tableColumns>
  <tableStyleInfo name="TableStyleMedium9"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oeffentlicher-dienst.info/tv-l/" TargetMode="External"/><Relationship Id="rId7" Type="http://schemas.openxmlformats.org/officeDocument/2006/relationships/printerSettings" Target="../printerSettings/printerSettings11.bin"/><Relationship Id="rId2" Type="http://schemas.openxmlformats.org/officeDocument/2006/relationships/hyperlink" Target="http://oeffentlicher-dienst.info/tv-l/" TargetMode="External"/><Relationship Id="rId1" Type="http://schemas.openxmlformats.org/officeDocument/2006/relationships/hyperlink" Target="http://oeffentlicher-dienst.info/tv-l/" TargetMode="External"/><Relationship Id="rId6" Type="http://schemas.openxmlformats.org/officeDocument/2006/relationships/hyperlink" Target="http://oeffentlicher-dienst.info/tv-l/" TargetMode="External"/><Relationship Id="rId5" Type="http://schemas.openxmlformats.org/officeDocument/2006/relationships/hyperlink" Target="http://oeffentlicher-dienst.info/tv-l/" TargetMode="External"/><Relationship Id="rId4" Type="http://schemas.openxmlformats.org/officeDocument/2006/relationships/hyperlink" Target="http://oeffentlicher-dienst.info/tv-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hyperlink" Target="https://www.lohn-info.de/sozialversicherungsbeitraege2026.html" TargetMode="External"/><Relationship Id="rId5" Type="http://schemas.openxmlformats.org/officeDocument/2006/relationships/comments" Target="../comments7.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lohn-info.de/uebergangsbereich_gleitzone_2026.html" TargetMode="External"/><Relationship Id="rId5" Type="http://schemas.openxmlformats.org/officeDocument/2006/relationships/comments" Target="../comments8.xml"/><Relationship Id="rId4" Type="http://schemas.openxmlformats.org/officeDocument/2006/relationships/vmlDrawing" Target="../drawings/vmlDrawing11.vml"/></Relationships>
</file>

<file path=xl/worksheets/_rels/sheet15.xml.rels><?xml version="1.0" encoding="UTF-8" standalone="yes"?>
<Relationships xmlns="http://schemas.openxmlformats.org/package/2006/relationships"><Relationship Id="rId8" Type="http://schemas.openxmlformats.org/officeDocument/2006/relationships/hyperlink" Target="https://oeffentlicher-dienst.info/tv-l/tr/2025/" TargetMode="External"/><Relationship Id="rId3" Type="http://schemas.openxmlformats.org/officeDocument/2006/relationships/hyperlink" Target="https://oeffentlicher-dienst.info/g/tv-l-corona-sonderzahlung" TargetMode="External"/><Relationship Id="rId7" Type="http://schemas.openxmlformats.org/officeDocument/2006/relationships/hyperlink" Target="https://www.tk.de/resource/blob/2206606/7445181694077ffa3c734446798a01f1/beitragstabelle-2026-data.pdf" TargetMode="External"/><Relationship Id="rId2" Type="http://schemas.openxmlformats.org/officeDocument/2006/relationships/hyperlink" Target="https://www.krankenkassen.de/gesetzliche-krankenkassen/krankenkasse-beitrag/arbeitgeber/umlage-u2/" TargetMode="External"/><Relationship Id="rId1" Type="http://schemas.openxmlformats.org/officeDocument/2006/relationships/hyperlink" Target="https://www.kus.uni-hamburg.de/themen/personalservice/personaleinstellung-weiterbeschaeftigung/shk-tutoren-studierende-angestellte.html" TargetMode="External"/><Relationship Id="rId6" Type="http://schemas.openxmlformats.org/officeDocument/2006/relationships/hyperlink" Target="https://oeffentlicher-dienst.info/tv-l/tr/2025/" TargetMode="External"/><Relationship Id="rId5" Type="http://schemas.openxmlformats.org/officeDocument/2006/relationships/hyperlink" Target="https://www.lohn-info.de/beitragsberechnung.html" TargetMode="External"/><Relationship Id="rId10" Type="http://schemas.openxmlformats.org/officeDocument/2006/relationships/drawing" Target="../drawings/drawing12.xml"/><Relationship Id="rId4" Type="http://schemas.openxmlformats.org/officeDocument/2006/relationships/hyperlink" Target="https://oeffentlicher-dienst.info/tv-l/tr/2019/" TargetMode="External"/><Relationship Id="rId9" Type="http://schemas.openxmlformats.org/officeDocument/2006/relationships/hyperlink" Target="https://www.lohn-info.de/sozialversicherungsbeitraege2026.html" TargetMode="External"/></Relationships>
</file>

<file path=xl/worksheets/_rels/sheet1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lohn-info.de/zeitberechnungen.html" TargetMode="External"/><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4.vml"/><Relationship Id="rId7" Type="http://schemas.openxmlformats.org/officeDocument/2006/relationships/ctrlProp" Target="../ctrlProps/ctrlProp8.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omments" Target="../comments2.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6.vml"/><Relationship Id="rId7" Type="http://schemas.openxmlformats.org/officeDocument/2006/relationships/ctrlProp" Target="../ctrlProps/ctrlProp15.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8.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vmlDrawing" Target="../drawings/vmlDrawing7.vml"/><Relationship Id="rId7" Type="http://schemas.openxmlformats.org/officeDocument/2006/relationships/ctrlProp" Target="../ctrlProps/ctrlProp19.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drawing" Target="../drawings/drawing9.xml"/><Relationship Id="rId7" Type="http://schemas.openxmlformats.org/officeDocument/2006/relationships/ctrlProp" Target="../ctrlProps/ctrlProp22.xml"/><Relationship Id="rId2" Type="http://schemas.openxmlformats.org/officeDocument/2006/relationships/printerSettings" Target="../printerSettings/printerSettings9.bin"/><Relationship Id="rId1" Type="http://schemas.openxmlformats.org/officeDocument/2006/relationships/hyperlink" Target="https://www.lohn-info.de/zeitberechnungen.html" TargetMode="External"/><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2920C-1584-456B-9A2A-50E0B6CBD674}">
  <sheetPr codeName="Tabelle4">
    <tabColor theme="0" tint="-0.249977111117893"/>
    <pageSetUpPr fitToPage="1"/>
  </sheetPr>
  <dimension ref="A1"/>
  <sheetViews>
    <sheetView showGridLines="0" workbookViewId="0">
      <selection activeCell="N3" sqref="N3"/>
    </sheetView>
  </sheetViews>
  <sheetFormatPr baseColWidth="10" defaultColWidth="11.42578125" defaultRowHeight="18" x14ac:dyDescent="0.4"/>
  <cols>
    <col min="1" max="13" width="11.42578125" style="471"/>
    <col min="14" max="14" width="12.28515625" style="471" customWidth="1"/>
    <col min="15" max="16384" width="11.42578125" style="471"/>
  </cols>
  <sheetData>
    <row r="1" spans="1:1" ht="21.75" x14ac:dyDescent="0.45">
      <c r="A1" s="472" t="s">
        <v>231</v>
      </c>
    </row>
  </sheetData>
  <pageMargins left="0.7" right="0.7" top="0.78740157499999996" bottom="0.78740157499999996" header="0.3" footer="0.3"/>
  <pageSetup paperSize="9" scale="72"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FAC79-E4EC-4685-B4BB-E7C8A59D77B0}">
  <sheetPr codeName="Tabelle8">
    <tabColor theme="9" tint="0.59999389629810485"/>
    <pageSetUpPr fitToPage="1"/>
  </sheetPr>
  <dimension ref="A1:K29"/>
  <sheetViews>
    <sheetView showGridLines="0" zoomScaleNormal="100" workbookViewId="0">
      <selection activeCell="E17" sqref="E17"/>
    </sheetView>
  </sheetViews>
  <sheetFormatPr baseColWidth="10" defaultColWidth="11.5703125" defaultRowHeight="15.75" outlineLevelRow="1" outlineLevelCol="1" x14ac:dyDescent="0.35"/>
  <cols>
    <col min="1" max="1" width="31.42578125" style="212" customWidth="1"/>
    <col min="2" max="2" width="17.7109375" style="212" customWidth="1"/>
    <col min="3" max="9" width="20.5703125" style="212" customWidth="1"/>
    <col min="10" max="10" width="10.140625" style="212" customWidth="1" outlineLevel="1"/>
    <col min="11" max="11" width="20.5703125" style="212" customWidth="1" outlineLevel="1"/>
    <col min="12" max="16384" width="11.5703125" style="212"/>
  </cols>
  <sheetData>
    <row r="1" spans="1:11" s="14" customFormat="1" ht="31.5" x14ac:dyDescent="0.6">
      <c r="A1" s="211" t="s">
        <v>98</v>
      </c>
      <c r="G1" s="212"/>
      <c r="I1" s="213"/>
      <c r="J1" s="213"/>
    </row>
    <row r="3" spans="1:11" ht="25.5" customHeight="1" thickBot="1" x14ac:dyDescent="0.4">
      <c r="A3" s="212" t="s">
        <v>123</v>
      </c>
    </row>
    <row r="4" spans="1:11" ht="19.5" customHeight="1" x14ac:dyDescent="0.35">
      <c r="A4" s="384" t="s">
        <v>118</v>
      </c>
      <c r="B4" s="874">
        <f>IF(ISBLANK('HR-EU'!B6)=TRUE,"",'HR-EU'!B6)</f>
        <v>0</v>
      </c>
      <c r="C4" s="875"/>
    </row>
    <row r="5" spans="1:11" ht="19.5" customHeight="1" outlineLevel="1" thickBot="1" x14ac:dyDescent="0.4">
      <c r="A5" s="210" t="s">
        <v>65</v>
      </c>
      <c r="B5" s="876" t="str">
        <f>IF(ISBLANK('HR-EU'!I6)=TRUE,"-",'HR-EU'!I6)</f>
        <v>-</v>
      </c>
      <c r="C5" s="877"/>
    </row>
    <row r="6" spans="1:11" outlineLevel="1" x14ac:dyDescent="0.35">
      <c r="A6" s="878" t="s">
        <v>117</v>
      </c>
      <c r="B6" s="214" t="s">
        <v>0</v>
      </c>
      <c r="C6" s="215" t="s">
        <v>1</v>
      </c>
    </row>
    <row r="7" spans="1:11" ht="16.5" outlineLevel="1" thickBot="1" x14ac:dyDescent="0.4">
      <c r="A7" s="878"/>
      <c r="B7" s="385">
        <f>IF(ISBLANK('HR-EU'!M6)=TRUE,"-",'HR-EU'!M6)</f>
        <v>0</v>
      </c>
      <c r="C7" s="386">
        <f>IF(ISBLANK('HR-EU'!N6)=TRUE,"-",'HR-EU'!N6)</f>
        <v>0</v>
      </c>
    </row>
    <row r="8" spans="1:11" ht="19.5" customHeight="1" outlineLevel="1" thickBot="1" x14ac:dyDescent="0.4">
      <c r="A8" s="210" t="s">
        <v>105</v>
      </c>
      <c r="B8" s="879" t="str">
        <f>'HR-EU'!P6</f>
        <v>Bitte auswählen</v>
      </c>
      <c r="C8" s="880"/>
    </row>
    <row r="9" spans="1:11" ht="19.5" customHeight="1" outlineLevel="1" thickBot="1" x14ac:dyDescent="0.4">
      <c r="A9" s="210" t="s">
        <v>91</v>
      </c>
      <c r="B9" s="879" t="str">
        <f>IF(ISBLANK('HR-EU'!Q6)=TRUE,"",'HR-EU'!Q6)</f>
        <v>Bitte auswählen</v>
      </c>
      <c r="C9" s="881"/>
    </row>
    <row r="10" spans="1:11" ht="19.5" customHeight="1" outlineLevel="1" thickBot="1" x14ac:dyDescent="0.4">
      <c r="A10" s="210" t="s">
        <v>170</v>
      </c>
      <c r="B10" s="882" t="e">
        <f>IF(ISBLANK('HR-EU'!V6)=TRUE,"-",'HR-EU'!V6)</f>
        <v>#VALUE!</v>
      </c>
      <c r="C10" s="883"/>
    </row>
    <row r="11" spans="1:11" ht="19.5" customHeight="1" outlineLevel="1" thickBot="1" x14ac:dyDescent="0.4">
      <c r="A11" s="210" t="s">
        <v>195</v>
      </c>
      <c r="B11" s="870" t="str">
        <f>IF('HR-EU'!$X$5=TRUE,"Ja","Nein")</f>
        <v>Ja</v>
      </c>
      <c r="C11" s="871"/>
    </row>
    <row r="12" spans="1:11" ht="19.5" customHeight="1" outlineLevel="1" thickBot="1" x14ac:dyDescent="0.4">
      <c r="A12" s="387" t="s">
        <v>76</v>
      </c>
      <c r="B12" s="872">
        <f>IF(ISBLANK('HR-EU'!O6)=TRUE,"-",'HR-EU'!O6)</f>
        <v>0</v>
      </c>
      <c r="C12" s="873"/>
    </row>
    <row r="13" spans="1:11" ht="40.5" customHeight="1" outlineLevel="1" x14ac:dyDescent="0.35">
      <c r="A13" s="622" t="s">
        <v>217</v>
      </c>
      <c r="B13" s="622"/>
      <c r="C13" s="622"/>
      <c r="D13" s="622"/>
      <c r="E13" s="622"/>
      <c r="F13" s="622"/>
    </row>
    <row r="14" spans="1:11" ht="30.75" customHeight="1" thickBot="1" x14ac:dyDescent="0.4"/>
    <row r="15" spans="1:11" s="14" customFormat="1" ht="24" customHeight="1" thickBot="1" x14ac:dyDescent="0.4">
      <c r="A15" s="216" t="s">
        <v>58</v>
      </c>
      <c r="B15" s="217" t="s">
        <v>59</v>
      </c>
      <c r="C15" s="218" t="s">
        <v>96</v>
      </c>
      <c r="D15" s="436" t="s">
        <v>214</v>
      </c>
      <c r="E15" s="219" t="s">
        <v>97</v>
      </c>
      <c r="F15" s="219" t="s">
        <v>93</v>
      </c>
      <c r="G15" s="219" t="s">
        <v>94</v>
      </c>
      <c r="H15" s="219" t="s">
        <v>95</v>
      </c>
      <c r="I15" s="220" t="s">
        <v>11</v>
      </c>
      <c r="J15" s="221" t="s">
        <v>90</v>
      </c>
      <c r="K15" s="216" t="s">
        <v>11</v>
      </c>
    </row>
    <row r="16" spans="1:11" ht="24" customHeight="1" x14ac:dyDescent="0.35">
      <c r="A16" s="222">
        <f>'HR-EU'!J20</f>
        <v>1900</v>
      </c>
      <c r="B16" s="233" t="e">
        <f>'HR-EU'!G55</f>
        <v>#NUM!</v>
      </c>
      <c r="C16" s="234" t="e">
        <f>'HR-EU'!$G$69</f>
        <v>#VALUE!</v>
      </c>
      <c r="D16" s="437" t="e">
        <f>'HR-EU'!I69</f>
        <v>#VALUE!</v>
      </c>
      <c r="E16" s="235" t="e">
        <f>'HR-EU'!$J$69</f>
        <v>#VALUE!</v>
      </c>
      <c r="F16" s="235" t="e">
        <f>'HR-EU'!K69</f>
        <v>#VALUE!</v>
      </c>
      <c r="G16" s="235" t="e">
        <f>'HR-EU'!L69</f>
        <v>#N/A</v>
      </c>
      <c r="H16" s="235" t="e">
        <f>'HR-EU'!M69</f>
        <v>#VALUE!</v>
      </c>
      <c r="I16" s="236" t="e">
        <f>SUM(C16:H16)</f>
        <v>#VALUE!</v>
      </c>
      <c r="J16" s="237"/>
      <c r="K16" s="236" t="e">
        <f t="shared" ref="K16:K21" si="0">I16*J16</f>
        <v>#VALUE!</v>
      </c>
    </row>
    <row r="17" spans="1:11" ht="24" customHeight="1" x14ac:dyDescent="0.35">
      <c r="A17" s="223">
        <f>A16+1</f>
        <v>1901</v>
      </c>
      <c r="B17" s="238">
        <f>'HR-EU'!V55</f>
        <v>0</v>
      </c>
      <c r="C17" s="239">
        <f>'HR-EU'!V69</f>
        <v>0</v>
      </c>
      <c r="D17" s="438">
        <f>'HR-EU'!Y69</f>
        <v>0</v>
      </c>
      <c r="E17" s="240">
        <f>'HR-EU'!Z69</f>
        <v>0</v>
      </c>
      <c r="F17" s="240" t="e">
        <f>'HR-EU'!AA69</f>
        <v>#N/A</v>
      </c>
      <c r="G17" s="240" t="e">
        <f>'HR-EU'!AB69</f>
        <v>#N/A</v>
      </c>
      <c r="H17" s="240">
        <f>'HR-EU'!AC69</f>
        <v>0</v>
      </c>
      <c r="I17" s="241" t="e">
        <f t="shared" ref="I17:I21" si="1">SUM(C17:H17)</f>
        <v>#N/A</v>
      </c>
      <c r="J17" s="242"/>
      <c r="K17" s="241" t="e">
        <f t="shared" si="0"/>
        <v>#N/A</v>
      </c>
    </row>
    <row r="18" spans="1:11" ht="24" customHeight="1" x14ac:dyDescent="0.35">
      <c r="A18" s="223">
        <f>A17+1</f>
        <v>1902</v>
      </c>
      <c r="B18" s="238">
        <f>'HR-EU'!AL55</f>
        <v>0</v>
      </c>
      <c r="C18" s="239">
        <f>'HR-EU'!AL69</f>
        <v>0</v>
      </c>
      <c r="D18" s="438">
        <f>'HR-EU'!AO69</f>
        <v>0</v>
      </c>
      <c r="E18" s="240">
        <f>'HR-EU'!AP69</f>
        <v>0</v>
      </c>
      <c r="F18" s="240" t="e">
        <f>'HR-EU'!AQ69</f>
        <v>#N/A</v>
      </c>
      <c r="G18" s="240" t="e">
        <f>'HR-EU'!AR69</f>
        <v>#N/A</v>
      </c>
      <c r="H18" s="240">
        <f>'HR-EU'!AS69</f>
        <v>0</v>
      </c>
      <c r="I18" s="241" t="e">
        <f t="shared" si="1"/>
        <v>#N/A</v>
      </c>
      <c r="J18" s="242"/>
      <c r="K18" s="241" t="e">
        <f t="shared" si="0"/>
        <v>#N/A</v>
      </c>
    </row>
    <row r="19" spans="1:11" ht="24" customHeight="1" x14ac:dyDescent="0.35">
      <c r="A19" s="223">
        <f>A18+1</f>
        <v>1903</v>
      </c>
      <c r="B19" s="238">
        <f>'HR-EU'!G75</f>
        <v>0</v>
      </c>
      <c r="C19" s="239">
        <f>'HR-EU'!G89</f>
        <v>0</v>
      </c>
      <c r="D19" s="438">
        <f>'HR-EU'!I89</f>
        <v>0</v>
      </c>
      <c r="E19" s="240">
        <f>'HR-EU'!J89</f>
        <v>0</v>
      </c>
      <c r="F19" s="240" t="e">
        <f>'HR-EU'!K89</f>
        <v>#N/A</v>
      </c>
      <c r="G19" s="240" t="e">
        <f>'HR-EU'!L89</f>
        <v>#N/A</v>
      </c>
      <c r="H19" s="240">
        <f>'HR-EU'!M89</f>
        <v>0</v>
      </c>
      <c r="I19" s="241" t="e">
        <f t="shared" si="1"/>
        <v>#N/A</v>
      </c>
      <c r="J19" s="242"/>
      <c r="K19" s="241" t="e">
        <f t="shared" si="0"/>
        <v>#N/A</v>
      </c>
    </row>
    <row r="20" spans="1:11" ht="24" customHeight="1" x14ac:dyDescent="0.35">
      <c r="A20" s="223">
        <f>A19+1</f>
        <v>1904</v>
      </c>
      <c r="B20" s="238">
        <f>'HR-EU'!V75</f>
        <v>0</v>
      </c>
      <c r="C20" s="239">
        <f>'HR-EU'!V89</f>
        <v>0</v>
      </c>
      <c r="D20" s="438">
        <f>'HR-EU'!Y89</f>
        <v>0</v>
      </c>
      <c r="E20" s="240">
        <f>'HR-EU'!Z89</f>
        <v>0</v>
      </c>
      <c r="F20" s="240" t="e">
        <f>'HR-EU'!AA89</f>
        <v>#N/A</v>
      </c>
      <c r="G20" s="240" t="e">
        <f>'HR-EU'!AB89</f>
        <v>#N/A</v>
      </c>
      <c r="H20" s="240">
        <f>'HR-EU'!AC89</f>
        <v>0</v>
      </c>
      <c r="I20" s="241" t="e">
        <f t="shared" si="1"/>
        <v>#N/A</v>
      </c>
      <c r="J20" s="242"/>
      <c r="K20" s="241" t="e">
        <f t="shared" si="0"/>
        <v>#N/A</v>
      </c>
    </row>
    <row r="21" spans="1:11" ht="24" customHeight="1" thickBot="1" x14ac:dyDescent="0.4">
      <c r="A21" s="224">
        <f>A20+1</f>
        <v>1905</v>
      </c>
      <c r="B21" s="243">
        <f>'HR-EU'!AL75</f>
        <v>0</v>
      </c>
      <c r="C21" s="244">
        <f>'HR-EU'!AL89</f>
        <v>0</v>
      </c>
      <c r="D21" s="439">
        <f>'HR-EU'!AO89</f>
        <v>0</v>
      </c>
      <c r="E21" s="245">
        <f>'HR-EU'!AP89</f>
        <v>0</v>
      </c>
      <c r="F21" s="245" t="e">
        <f>'HR-EU'!AQ89</f>
        <v>#N/A</v>
      </c>
      <c r="G21" s="245" t="e">
        <f>'HR-EU'!AR89</f>
        <v>#N/A</v>
      </c>
      <c r="H21" s="245">
        <f>'HR-EU'!AS89</f>
        <v>0</v>
      </c>
      <c r="I21" s="246" t="e">
        <f t="shared" si="1"/>
        <v>#N/A</v>
      </c>
      <c r="J21" s="247"/>
      <c r="K21" s="246" t="e">
        <f t="shared" si="0"/>
        <v>#N/A</v>
      </c>
    </row>
    <row r="22" spans="1:11" ht="24" customHeight="1" thickBot="1" x14ac:dyDescent="0.4">
      <c r="A22" s="225" t="s">
        <v>11</v>
      </c>
      <c r="B22" s="226"/>
      <c r="C22" s="227" t="e">
        <f t="shared" ref="C22:K22" si="2">SUM(C16:C21)</f>
        <v>#VALUE!</v>
      </c>
      <c r="D22" s="440" t="e">
        <f>SUM(D16:D21)</f>
        <v>#VALUE!</v>
      </c>
      <c r="E22" s="228" t="e">
        <f t="shared" si="2"/>
        <v>#VALUE!</v>
      </c>
      <c r="F22" s="228" t="e">
        <f t="shared" si="2"/>
        <v>#VALUE!</v>
      </c>
      <c r="G22" s="228" t="e">
        <f t="shared" si="2"/>
        <v>#N/A</v>
      </c>
      <c r="H22" s="228" t="e">
        <f t="shared" si="2"/>
        <v>#VALUE!</v>
      </c>
      <c r="I22" s="229" t="e">
        <f>SUM(I16:I21)</f>
        <v>#VALUE!</v>
      </c>
      <c r="J22" s="231"/>
      <c r="K22" s="231" t="e">
        <f t="shared" si="2"/>
        <v>#VALUE!</v>
      </c>
    </row>
    <row r="23" spans="1:11" x14ac:dyDescent="0.35">
      <c r="B23" s="232"/>
      <c r="C23" s="232"/>
      <c r="D23" s="232"/>
      <c r="E23" s="232"/>
      <c r="F23" s="232"/>
      <c r="G23" s="232"/>
      <c r="H23" s="232"/>
      <c r="I23" s="232"/>
      <c r="J23" s="232"/>
    </row>
    <row r="24" spans="1:11" x14ac:dyDescent="0.35">
      <c r="A24" s="232"/>
      <c r="B24" s="232"/>
      <c r="C24" s="232"/>
      <c r="D24" s="232"/>
      <c r="E24" s="232"/>
      <c r="F24" s="232"/>
      <c r="G24" s="232"/>
      <c r="H24" s="232"/>
      <c r="I24" s="232"/>
      <c r="J24" s="232"/>
    </row>
    <row r="25" spans="1:11" ht="54.75" customHeight="1" x14ac:dyDescent="0.35">
      <c r="A25" s="666" t="s">
        <v>178</v>
      </c>
      <c r="B25" s="666"/>
      <c r="C25" s="666"/>
      <c r="D25" s="666"/>
      <c r="E25" s="666"/>
      <c r="F25" s="230"/>
      <c r="G25" s="230"/>
      <c r="H25" s="230"/>
      <c r="I25" s="392" t="str">
        <f>'HR-EU'!$B$3</f>
        <v>Stand: 03.06.2026 (BITTE AKTUELLE VERSION NUTZEN - ZURZEIT VERSION V06)</v>
      </c>
      <c r="J25" s="230"/>
    </row>
    <row r="26" spans="1:11" x14ac:dyDescent="0.35">
      <c r="A26" s="232"/>
      <c r="B26" s="232"/>
      <c r="C26" s="232"/>
      <c r="D26" s="232"/>
      <c r="E26" s="232"/>
      <c r="F26" s="232"/>
      <c r="G26" s="232"/>
      <c r="H26" s="232"/>
      <c r="I26" s="232"/>
      <c r="J26" s="232"/>
    </row>
    <row r="27" spans="1:11" x14ac:dyDescent="0.35">
      <c r="A27" s="232"/>
      <c r="B27" s="232"/>
      <c r="C27" s="232"/>
      <c r="D27" s="232"/>
      <c r="E27" s="232"/>
      <c r="F27" s="232"/>
      <c r="G27" s="232"/>
      <c r="H27" s="232"/>
      <c r="I27" s="232"/>
      <c r="J27" s="232"/>
    </row>
    <row r="28" spans="1:11" x14ac:dyDescent="0.35">
      <c r="A28" s="232"/>
      <c r="B28" s="232"/>
      <c r="C28" s="232"/>
      <c r="D28" s="232"/>
      <c r="E28" s="232"/>
      <c r="F28" s="232"/>
      <c r="G28" s="232"/>
      <c r="H28" s="232"/>
      <c r="I28" s="232"/>
      <c r="J28" s="232"/>
    </row>
    <row r="29" spans="1:11" x14ac:dyDescent="0.35">
      <c r="A29" s="232"/>
      <c r="B29" s="232"/>
      <c r="C29" s="232"/>
      <c r="D29" s="232"/>
      <c r="E29" s="232"/>
      <c r="F29" s="232"/>
      <c r="G29" s="232"/>
      <c r="H29" s="232"/>
      <c r="I29" s="232"/>
      <c r="J29" s="232"/>
    </row>
  </sheetData>
  <sheetProtection formatCells="0" formatColumns="0" formatRows="0" insertColumns="0" insertRows="0" insertHyperlinks="0" deleteColumns="0" deleteRows="0" sort="0" autoFilter="0" pivotTables="0"/>
  <mergeCells count="10">
    <mergeCell ref="B11:C11"/>
    <mergeCell ref="B12:C12"/>
    <mergeCell ref="A13:F13"/>
    <mergeCell ref="A25:E25"/>
    <mergeCell ref="B4:C4"/>
    <mergeCell ref="B5:C5"/>
    <mergeCell ref="A6:A7"/>
    <mergeCell ref="B8:C8"/>
    <mergeCell ref="B9:C9"/>
    <mergeCell ref="B10:C10"/>
  </mergeCells>
  <conditionalFormatting sqref="B12">
    <cfRule type="expression" dxfId="7" priority="3">
      <formula>$E$17="XYZ"</formula>
    </cfRule>
  </conditionalFormatting>
  <conditionalFormatting sqref="B4">
    <cfRule type="expression" dxfId="6" priority="2">
      <formula>$E$17="XYZ"</formula>
    </cfRule>
  </conditionalFormatting>
  <conditionalFormatting sqref="J16:J21">
    <cfRule type="expression" dxfId="5" priority="1">
      <formula>AND((ISBLANK($J$16)),(ISBLANK($J$17)),(ISBLANK($J$18)),(ISBLANK($J$19)),(ISBLANK($J$20)),(ISBLANK($J$21)))</formula>
    </cfRule>
  </conditionalFormatting>
  <pageMargins left="0.70866141732283472" right="0.70866141732283472" top="0.78740157480314965" bottom="0.78740157480314965" header="0.31496062992125984" footer="0.31496062992125984"/>
  <pageSetup paperSize="9" scale="68"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AC75D62-CDBF-44F4-A0F5-E21E7B6F1B51}">
          <x14:formula1>
            <xm:f>'DROP DOWN'!$G$3:$G$22</xm:f>
          </x14:formula1>
          <xm:sqref>B8:D8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2">
    <tabColor theme="2" tint="-9.9978637043366805E-2"/>
  </sheetPr>
  <dimension ref="A1:AU68"/>
  <sheetViews>
    <sheetView showGridLines="0" view="pageBreakPreview" zoomScale="70" zoomScaleNormal="70" zoomScaleSheetLayoutView="70" workbookViewId="0">
      <pane ySplit="3" topLeftCell="A8" activePane="bottomLeft" state="frozen"/>
      <selection activeCell="Q55" sqref="Q55"/>
      <selection pane="bottomLeft" activeCell="A16" sqref="A16"/>
    </sheetView>
  </sheetViews>
  <sheetFormatPr baseColWidth="10" defaultColWidth="11.42578125" defaultRowHeight="18" outlineLevelRow="1" outlineLevelCol="1" x14ac:dyDescent="0.4"/>
  <cols>
    <col min="1" max="7" width="13.7109375" style="27" customWidth="1" outlineLevel="1"/>
    <col min="8" max="8" width="4.5703125" style="23" customWidth="1"/>
    <col min="9" max="15" width="13.7109375" style="27" customWidth="1" outlineLevel="1"/>
    <col min="16" max="16" width="4.5703125" style="23" customWidth="1"/>
    <col min="17" max="23" width="13.7109375" style="27" customWidth="1" outlineLevel="1"/>
    <col min="24" max="24" width="4.5703125" style="23" customWidth="1"/>
    <col min="25" max="31" width="13.7109375" style="27" customWidth="1" outlineLevel="1"/>
    <col min="32" max="32" width="4.5703125" style="23" customWidth="1"/>
    <col min="33" max="39" width="13.7109375" style="27" customWidth="1" outlineLevel="1"/>
    <col min="40" max="40" width="4.5703125" style="23" customWidth="1"/>
    <col min="41" max="47" width="13.7109375" style="27" customWidth="1" outlineLevel="1"/>
    <col min="48" max="48" width="4.7109375" style="23" customWidth="1"/>
    <col min="49" max="16384" width="11.42578125" style="23"/>
  </cols>
  <sheetData>
    <row r="1" spans="1:47" x14ac:dyDescent="0.4">
      <c r="A1" s="33" t="s">
        <v>106</v>
      </c>
      <c r="F1" s="34"/>
      <c r="I1" s="33" t="s">
        <v>106</v>
      </c>
      <c r="Q1" s="33" t="s">
        <v>106</v>
      </c>
      <c r="Y1" s="33" t="s">
        <v>106</v>
      </c>
      <c r="AG1" s="33" t="s">
        <v>106</v>
      </c>
      <c r="AO1" s="33" t="s">
        <v>106</v>
      </c>
    </row>
    <row r="2" spans="1:47" ht="18.75" thickBot="1" x14ac:dyDescent="0.45">
      <c r="A2" s="33"/>
    </row>
    <row r="3" spans="1:47" ht="18.75" thickBot="1" x14ac:dyDescent="0.45">
      <c r="A3" s="25">
        <f>IF('HR-DM (U3,U4,U5AUF)'!J20&gt;1900,'HR-DM (U3,U4,U5AUF)'!J20,IF('HR-LM (U2,U5FOD,U7)'!J20&gt;1900,'HR-LM (U2,U5FOD,U7)'!J20,IF('HR-AZA(P)'!J20&gt;1900,'HR-AZA(P)'!J20,IF('HR-EU'!J20&gt;1900,'HR-EU'!J20,'HR-DM (U3,U4,U5AUF)'!J20))))</f>
        <v>1900</v>
      </c>
      <c r="E3" s="34" t="s">
        <v>102</v>
      </c>
      <c r="I3" s="26">
        <f>A3+1</f>
        <v>1901</v>
      </c>
      <c r="M3" s="34" t="s">
        <v>102</v>
      </c>
      <c r="N3" s="34"/>
      <c r="O3" s="34"/>
      <c r="Q3" s="32">
        <f>I3+1</f>
        <v>1902</v>
      </c>
      <c r="U3" s="34" t="s">
        <v>102</v>
      </c>
      <c r="V3" s="34"/>
      <c r="W3" s="34"/>
      <c r="Y3" s="31">
        <f>Q3+1</f>
        <v>1903</v>
      </c>
      <c r="AC3" s="34" t="s">
        <v>102</v>
      </c>
      <c r="AD3" s="34"/>
      <c r="AG3" s="35">
        <f>Y3+1</f>
        <v>1904</v>
      </c>
      <c r="AK3" s="34" t="s">
        <v>102</v>
      </c>
      <c r="AO3" s="36">
        <f>AG3+1</f>
        <v>1905</v>
      </c>
      <c r="AS3" s="34" t="s">
        <v>102</v>
      </c>
    </row>
    <row r="4" spans="1:47" ht="18.75" thickBot="1" x14ac:dyDescent="0.45"/>
    <row r="5" spans="1:47" s="46" customFormat="1" ht="34.5" customHeight="1" thickBot="1" x14ac:dyDescent="0.3">
      <c r="A5" s="37" t="s">
        <v>27</v>
      </c>
      <c r="B5" s="37">
        <v>1</v>
      </c>
      <c r="C5" s="37">
        <v>2</v>
      </c>
      <c r="D5" s="37">
        <v>3</v>
      </c>
      <c r="E5" s="37">
        <v>4</v>
      </c>
      <c r="F5" s="37">
        <v>5</v>
      </c>
      <c r="G5" s="37">
        <v>6</v>
      </c>
      <c r="I5" s="37" t="s">
        <v>27</v>
      </c>
      <c r="J5" s="37">
        <v>1</v>
      </c>
      <c r="K5" s="37">
        <v>2</v>
      </c>
      <c r="L5" s="37">
        <v>3</v>
      </c>
      <c r="M5" s="37">
        <v>4</v>
      </c>
      <c r="N5" s="37">
        <v>5</v>
      </c>
      <c r="O5" s="37">
        <v>6</v>
      </c>
      <c r="Q5" s="37" t="s">
        <v>27</v>
      </c>
      <c r="R5" s="37">
        <v>1</v>
      </c>
      <c r="S5" s="37">
        <v>2</v>
      </c>
      <c r="T5" s="37">
        <v>3</v>
      </c>
      <c r="U5" s="37">
        <v>4</v>
      </c>
      <c r="V5" s="37">
        <v>5</v>
      </c>
      <c r="W5" s="37">
        <v>6</v>
      </c>
      <c r="Y5" s="37" t="s">
        <v>27</v>
      </c>
      <c r="Z5" s="37">
        <v>1</v>
      </c>
      <c r="AA5" s="37">
        <v>2</v>
      </c>
      <c r="AB5" s="37">
        <v>3</v>
      </c>
      <c r="AC5" s="37">
        <v>4</v>
      </c>
      <c r="AD5" s="37">
        <v>5</v>
      </c>
      <c r="AE5" s="37">
        <v>6</v>
      </c>
      <c r="AG5" s="37" t="s">
        <v>27</v>
      </c>
      <c r="AH5" s="37">
        <v>1</v>
      </c>
      <c r="AI5" s="37">
        <v>2</v>
      </c>
      <c r="AJ5" s="37">
        <v>3</v>
      </c>
      <c r="AK5" s="37">
        <v>4</v>
      </c>
      <c r="AL5" s="37">
        <v>5</v>
      </c>
      <c r="AM5" s="37">
        <v>6</v>
      </c>
      <c r="AO5" s="37" t="s">
        <v>27</v>
      </c>
      <c r="AP5" s="37">
        <v>1</v>
      </c>
      <c r="AQ5" s="37">
        <v>2</v>
      </c>
      <c r="AR5" s="37">
        <v>3</v>
      </c>
      <c r="AS5" s="37">
        <v>4</v>
      </c>
      <c r="AT5" s="37">
        <v>5</v>
      </c>
      <c r="AU5" s="37">
        <v>6</v>
      </c>
    </row>
    <row r="6" spans="1:47" s="29" customFormat="1" ht="29.25" customHeight="1" thickBot="1" x14ac:dyDescent="0.3">
      <c r="A6" s="45" t="s">
        <v>246</v>
      </c>
      <c r="B6" s="44">
        <f t="shared" ref="B6:B24" si="0">IF($A$3&lt;=$A$27,B29,IF($A$3=$I$27,J29,R29))</f>
        <v>6857.14</v>
      </c>
      <c r="C6" s="44">
        <f t="shared" ref="C6:C24" si="1">IF($A$3&lt;=$A$27,C29,IF($A$3=$I$27,K29,S29))</f>
        <v>7587.33</v>
      </c>
      <c r="D6" s="44">
        <f t="shared" ref="D6:D24" si="2">IF($A$3&lt;=$A$27,D29,IF($A$3=$I$27,L29,T29))</f>
        <v>8280.33</v>
      </c>
      <c r="E6" s="44">
        <f t="shared" ref="E6:E24" si="3">IF($A$3&lt;=$A$27,E29,IF($A$3=$I$27,M29,U29))</f>
        <v>8734.83</v>
      </c>
      <c r="F6" s="44">
        <f t="shared" ref="F6:F24" si="4">IF($A$3&lt;=$A$27,F29,IF($A$3=$I$27,N29,V29))</f>
        <v>8846.64</v>
      </c>
      <c r="G6" s="44">
        <f t="shared" ref="G6:G24" si="5">IF($A$3&lt;=$A$27,G29,IF($A$3=$I$27,O29,W29))</f>
        <v>0</v>
      </c>
      <c r="I6" s="45" t="s">
        <v>246</v>
      </c>
      <c r="J6" s="44">
        <f>IF($I$3&lt;=$A$27,B29,IF($I$3=$I$27,J29,R29))</f>
        <v>6857.14</v>
      </c>
      <c r="K6" s="44">
        <f t="shared" ref="K6:K24" si="6">IF($I$3&lt;=$A$27,C29,IF($I$3=$I$27,K29,S29))</f>
        <v>7587.33</v>
      </c>
      <c r="L6" s="44">
        <f t="shared" ref="L6:L24" si="7">IF($I$3&lt;=$A$27,D29,IF($I$3=$I$27,L29,T29))</f>
        <v>8280.33</v>
      </c>
      <c r="M6" s="44">
        <f t="shared" ref="M6:M24" si="8">IF($I$3&lt;=$A$27,E29,IF($I$3=$I$27,M29,U29))</f>
        <v>8734.83</v>
      </c>
      <c r="N6" s="44">
        <f t="shared" ref="N6:N24" si="9">IF($I$3&lt;=$A$27,F29,IF($I$3=$I$27,N29,V29))</f>
        <v>8846.64</v>
      </c>
      <c r="O6" s="44">
        <f t="shared" ref="O6:O24" si="10">IF($I$3&lt;=$A$27,G29,IF($I$3=$I$27,O29,W29))</f>
        <v>0</v>
      </c>
      <c r="Q6" s="45" t="s">
        <v>246</v>
      </c>
      <c r="R6" s="44">
        <f t="shared" ref="R6:R24" si="11">IF($Q$3&lt;=$A$27,B29,IF($Q$3=$I$27,J29,R29))</f>
        <v>6857.14</v>
      </c>
      <c r="S6" s="44">
        <f t="shared" ref="S6:S24" si="12">IF($Q$3&lt;=$A$27,C29,IF($Q$3=$I$27,K29,S29))</f>
        <v>7587.33</v>
      </c>
      <c r="T6" s="44">
        <f t="shared" ref="T6:T24" si="13">IF($Q$3&lt;=$A$27,D29,IF($Q$3=$I$27,L29,T29))</f>
        <v>8280.33</v>
      </c>
      <c r="U6" s="44">
        <f t="shared" ref="U6:U24" si="14">IF($Q$3&lt;=$A$27,E29,IF($Q$3=$I$27,M29,U29))</f>
        <v>8734.83</v>
      </c>
      <c r="V6" s="44">
        <f t="shared" ref="V6:V24" si="15">IF($Q$3&lt;=$A$27,F29,IF($Q$3=$I$27,N29,V29))</f>
        <v>8846.64</v>
      </c>
      <c r="W6" s="44">
        <f t="shared" ref="W6:W24" si="16">IF($Q$3&lt;=$A$27,G29,IF($Q$3=$I$27,O29,W29))</f>
        <v>0</v>
      </c>
      <c r="Y6" s="45" t="s">
        <v>246</v>
      </c>
      <c r="Z6" s="44">
        <f t="shared" ref="Z6:Z24" si="17">IF($Y$3&lt;=$A$27,B29,IF($Y$3=$I$27,J29,R29))</f>
        <v>6857.14</v>
      </c>
      <c r="AA6" s="44">
        <f t="shared" ref="AA6:AA24" si="18">IF($Y$3&lt;=$A$27,C29,IF($Y$3=$I$27,K29,S29))</f>
        <v>7587.33</v>
      </c>
      <c r="AB6" s="44">
        <f t="shared" ref="AB6:AB24" si="19">IF($Y$3&lt;=$A$27,D29,IF($Y$3=$I$27,L29,T29))</f>
        <v>8280.33</v>
      </c>
      <c r="AC6" s="44">
        <f t="shared" ref="AC6:AC24" si="20">IF($Y$3&lt;=$A$27,E29,IF($Y$3=$I$27,M29,U29))</f>
        <v>8734.83</v>
      </c>
      <c r="AD6" s="44">
        <f t="shared" ref="AD6:AD24" si="21">IF($Y$3&lt;=$A$27,F29,IF($Y$3=$I$27,N29,V29))</f>
        <v>8846.64</v>
      </c>
      <c r="AE6" s="44">
        <f t="shared" ref="AE6:AE24" si="22">IF($Y$3&lt;=$A$27,G29,IF($Y$3=$I$27,O29,W29))</f>
        <v>0</v>
      </c>
      <c r="AG6" s="45" t="s">
        <v>246</v>
      </c>
      <c r="AH6" s="44">
        <f t="shared" ref="AH6:AH24" si="23">IF($AG$3&lt;=$A$27,B29,IF($AG$3=$I$27,J29,R29))</f>
        <v>6857.14</v>
      </c>
      <c r="AI6" s="44">
        <f t="shared" ref="AI6:AI24" si="24">IF($AG$3&lt;=$A$27,C29,IF($AG$3=$I$27,K29,S29))</f>
        <v>7587.33</v>
      </c>
      <c r="AJ6" s="44">
        <f t="shared" ref="AJ6:AJ24" si="25">IF($AG$3&lt;=$A$27,D29,IF($AG$3=$I$27,L29,T29))</f>
        <v>8280.33</v>
      </c>
      <c r="AK6" s="44">
        <f t="shared" ref="AK6:AK24" si="26">IF($AG$3&lt;=$A$27,E29,IF($AG$3=$I$27,M29,U29))</f>
        <v>8734.83</v>
      </c>
      <c r="AL6" s="44">
        <f t="shared" ref="AL6:AL24" si="27">IF($AG$3&lt;=$A$27,F29,IF($AG$3=$I$27,N29,V29))</f>
        <v>8846.64</v>
      </c>
      <c r="AM6" s="44">
        <f t="shared" ref="AM6:AM24" si="28">IF($AG$3&lt;=$A$27,G29,IF($AG$3=$I$27,O29,W29))</f>
        <v>0</v>
      </c>
      <c r="AO6" s="45" t="s">
        <v>246</v>
      </c>
      <c r="AP6" s="44">
        <f t="shared" ref="AP6:AP24" si="29">IF($AO$3&lt;=$A$27,B29,IF($AO$3=$I$27,J29,R29))</f>
        <v>6857.14</v>
      </c>
      <c r="AQ6" s="44">
        <f t="shared" ref="AQ6:AQ24" si="30">IF($AO$3&lt;=$A$27,C29,IF($AO$3=$I$27,K29,S29))</f>
        <v>7587.33</v>
      </c>
      <c r="AR6" s="44">
        <f t="shared" ref="AR6:AR24" si="31">IF($AO$3&lt;=$A$27,D29,IF($AO$3=$I$27,L29,T29))</f>
        <v>8280.33</v>
      </c>
      <c r="AS6" s="44">
        <f t="shared" ref="AS6:AS24" si="32">IF($AO$3&lt;=$A$27,E29,IF($AO$3=$I$27,M29,U29))</f>
        <v>8734.83</v>
      </c>
      <c r="AT6" s="44">
        <f t="shared" ref="AT6:AT24" si="33">IF($AO$3&lt;=$A$27,F29,IF($AO$3=$I$27,N29,V29))</f>
        <v>8846.64</v>
      </c>
      <c r="AU6" s="44">
        <f t="shared" ref="AU6:AU24" si="34">IF($AO$3&lt;=$A$27,G29,IF($AO$3=$I$27,O29,W29))</f>
        <v>0</v>
      </c>
    </row>
    <row r="7" spans="1:47" s="29" customFormat="1" ht="29.25" customHeight="1" thickBot="1" x14ac:dyDescent="0.3">
      <c r="A7" s="45">
        <v>15</v>
      </c>
      <c r="B7" s="44">
        <f t="shared" si="0"/>
        <v>5658.38</v>
      </c>
      <c r="C7" s="44">
        <f t="shared" si="1"/>
        <v>6067.3</v>
      </c>
      <c r="D7" s="44">
        <f t="shared" si="2"/>
        <v>6283.38</v>
      </c>
      <c r="E7" s="44">
        <f t="shared" si="3"/>
        <v>7050.89</v>
      </c>
      <c r="F7" s="44">
        <f t="shared" si="4"/>
        <v>7632.07</v>
      </c>
      <c r="G7" s="44">
        <f t="shared" si="5"/>
        <v>7854.52</v>
      </c>
      <c r="I7" s="45">
        <v>15</v>
      </c>
      <c r="J7" s="44">
        <f t="shared" ref="J7:J24" si="35">IF($I$3&lt;=$A$27,B30,IF($I$3=$I$27,J30,R30))</f>
        <v>5658.38</v>
      </c>
      <c r="K7" s="44">
        <f t="shared" si="6"/>
        <v>6067.3</v>
      </c>
      <c r="L7" s="44">
        <f t="shared" si="7"/>
        <v>6283.38</v>
      </c>
      <c r="M7" s="44">
        <f t="shared" si="8"/>
        <v>7050.89</v>
      </c>
      <c r="N7" s="44">
        <f t="shared" si="9"/>
        <v>7632.07</v>
      </c>
      <c r="O7" s="44">
        <f t="shared" si="10"/>
        <v>7854.52</v>
      </c>
      <c r="Q7" s="45">
        <v>15</v>
      </c>
      <c r="R7" s="44">
        <f t="shared" si="11"/>
        <v>5658.38</v>
      </c>
      <c r="S7" s="44">
        <f t="shared" si="12"/>
        <v>6067.3</v>
      </c>
      <c r="T7" s="44">
        <f t="shared" si="13"/>
        <v>6283.38</v>
      </c>
      <c r="U7" s="44">
        <f t="shared" si="14"/>
        <v>7050.89</v>
      </c>
      <c r="V7" s="44">
        <f t="shared" si="15"/>
        <v>7632.07</v>
      </c>
      <c r="W7" s="44">
        <f t="shared" si="16"/>
        <v>7854.52</v>
      </c>
      <c r="Y7" s="45">
        <v>15</v>
      </c>
      <c r="Z7" s="44">
        <f t="shared" si="17"/>
        <v>5658.38</v>
      </c>
      <c r="AA7" s="44">
        <f t="shared" si="18"/>
        <v>6067.3</v>
      </c>
      <c r="AB7" s="44">
        <f t="shared" si="19"/>
        <v>6283.38</v>
      </c>
      <c r="AC7" s="44">
        <f t="shared" si="20"/>
        <v>7050.89</v>
      </c>
      <c r="AD7" s="44">
        <f t="shared" si="21"/>
        <v>7632.07</v>
      </c>
      <c r="AE7" s="44">
        <f t="shared" si="22"/>
        <v>7854.52</v>
      </c>
      <c r="AG7" s="45">
        <v>15</v>
      </c>
      <c r="AH7" s="44">
        <f t="shared" si="23"/>
        <v>5658.38</v>
      </c>
      <c r="AI7" s="44">
        <f t="shared" si="24"/>
        <v>6067.3</v>
      </c>
      <c r="AJ7" s="44">
        <f t="shared" si="25"/>
        <v>6283.38</v>
      </c>
      <c r="AK7" s="44">
        <f t="shared" si="26"/>
        <v>7050.89</v>
      </c>
      <c r="AL7" s="44">
        <f t="shared" si="27"/>
        <v>7632.07</v>
      </c>
      <c r="AM7" s="44">
        <f t="shared" si="28"/>
        <v>7854.52</v>
      </c>
      <c r="AO7" s="45">
        <v>15</v>
      </c>
      <c r="AP7" s="44">
        <f t="shared" si="29"/>
        <v>5658.38</v>
      </c>
      <c r="AQ7" s="44">
        <f t="shared" si="30"/>
        <v>6067.3</v>
      </c>
      <c r="AR7" s="44">
        <f t="shared" si="31"/>
        <v>6283.38</v>
      </c>
      <c r="AS7" s="44">
        <f t="shared" si="32"/>
        <v>7050.89</v>
      </c>
      <c r="AT7" s="44">
        <f t="shared" si="33"/>
        <v>7632.07</v>
      </c>
      <c r="AU7" s="44">
        <f t="shared" si="34"/>
        <v>7854.52</v>
      </c>
    </row>
    <row r="8" spans="1:47" s="29" customFormat="1" ht="29.25" customHeight="1" thickBot="1" x14ac:dyDescent="0.3">
      <c r="A8" s="45">
        <v>14</v>
      </c>
      <c r="B8" s="44">
        <f t="shared" si="0"/>
        <v>5143.59</v>
      </c>
      <c r="C8" s="44">
        <f t="shared" si="1"/>
        <v>5515.9</v>
      </c>
      <c r="D8" s="44">
        <f t="shared" si="2"/>
        <v>5821.41</v>
      </c>
      <c r="E8" s="44">
        <f t="shared" si="3"/>
        <v>6283.38</v>
      </c>
      <c r="F8" s="44">
        <f t="shared" si="4"/>
        <v>6991.23</v>
      </c>
      <c r="G8" s="44">
        <f t="shared" si="5"/>
        <v>7194.48</v>
      </c>
      <c r="I8" s="45">
        <v>14</v>
      </c>
      <c r="J8" s="44">
        <f t="shared" si="35"/>
        <v>5143.59</v>
      </c>
      <c r="K8" s="44">
        <f t="shared" si="6"/>
        <v>5515.9</v>
      </c>
      <c r="L8" s="44">
        <f t="shared" si="7"/>
        <v>5821.41</v>
      </c>
      <c r="M8" s="44">
        <f t="shared" si="8"/>
        <v>6283.38</v>
      </c>
      <c r="N8" s="44">
        <f t="shared" si="9"/>
        <v>6991.23</v>
      </c>
      <c r="O8" s="44">
        <f t="shared" si="10"/>
        <v>7194.48</v>
      </c>
      <c r="Q8" s="45">
        <v>14</v>
      </c>
      <c r="R8" s="44">
        <f t="shared" si="11"/>
        <v>5143.59</v>
      </c>
      <c r="S8" s="44">
        <f t="shared" si="12"/>
        <v>5515.9</v>
      </c>
      <c r="T8" s="44">
        <f t="shared" si="13"/>
        <v>5821.41</v>
      </c>
      <c r="U8" s="44">
        <f t="shared" si="14"/>
        <v>6283.38</v>
      </c>
      <c r="V8" s="44">
        <f t="shared" si="15"/>
        <v>6991.23</v>
      </c>
      <c r="W8" s="44">
        <f t="shared" si="16"/>
        <v>7194.48</v>
      </c>
      <c r="Y8" s="45">
        <v>14</v>
      </c>
      <c r="Z8" s="44">
        <f t="shared" si="17"/>
        <v>5143.59</v>
      </c>
      <c r="AA8" s="44">
        <f t="shared" si="18"/>
        <v>5515.9</v>
      </c>
      <c r="AB8" s="44">
        <f t="shared" si="19"/>
        <v>5821.41</v>
      </c>
      <c r="AC8" s="44">
        <f t="shared" si="20"/>
        <v>6283.38</v>
      </c>
      <c r="AD8" s="44">
        <f t="shared" si="21"/>
        <v>6991.23</v>
      </c>
      <c r="AE8" s="44">
        <f t="shared" si="22"/>
        <v>7194.48</v>
      </c>
      <c r="AG8" s="45">
        <v>14</v>
      </c>
      <c r="AH8" s="44">
        <f t="shared" si="23"/>
        <v>5143.59</v>
      </c>
      <c r="AI8" s="44">
        <f t="shared" si="24"/>
        <v>5515.9</v>
      </c>
      <c r="AJ8" s="44">
        <f t="shared" si="25"/>
        <v>5821.41</v>
      </c>
      <c r="AK8" s="44">
        <f t="shared" si="26"/>
        <v>6283.38</v>
      </c>
      <c r="AL8" s="44">
        <f t="shared" si="27"/>
        <v>6991.23</v>
      </c>
      <c r="AM8" s="44">
        <f t="shared" si="28"/>
        <v>7194.48</v>
      </c>
      <c r="AO8" s="45">
        <v>14</v>
      </c>
      <c r="AP8" s="44">
        <f t="shared" si="29"/>
        <v>5143.59</v>
      </c>
      <c r="AQ8" s="44">
        <f t="shared" si="30"/>
        <v>5515.9</v>
      </c>
      <c r="AR8" s="44">
        <f t="shared" si="31"/>
        <v>5821.41</v>
      </c>
      <c r="AS8" s="44">
        <f t="shared" si="32"/>
        <v>6283.38</v>
      </c>
      <c r="AT8" s="44">
        <f t="shared" si="33"/>
        <v>6991.23</v>
      </c>
      <c r="AU8" s="44">
        <f t="shared" si="34"/>
        <v>7194.48</v>
      </c>
    </row>
    <row r="9" spans="1:47" s="29" customFormat="1" ht="29.25" customHeight="1" thickBot="1" x14ac:dyDescent="0.3">
      <c r="A9" s="45" t="s">
        <v>247</v>
      </c>
      <c r="B9" s="44">
        <f t="shared" si="0"/>
        <v>0</v>
      </c>
      <c r="C9" s="44">
        <f t="shared" si="1"/>
        <v>5106.09</v>
      </c>
      <c r="D9" s="44">
        <f t="shared" si="2"/>
        <v>5366.89</v>
      </c>
      <c r="E9" s="44">
        <f t="shared" si="3"/>
        <v>6283.38</v>
      </c>
      <c r="F9" s="44">
        <f t="shared" si="4"/>
        <v>6991.23</v>
      </c>
      <c r="G9" s="44">
        <f t="shared" si="5"/>
        <v>7194.48</v>
      </c>
      <c r="I9" s="45" t="s">
        <v>247</v>
      </c>
      <c r="J9" s="44">
        <f t="shared" si="35"/>
        <v>0</v>
      </c>
      <c r="K9" s="44">
        <f t="shared" si="6"/>
        <v>5106.09</v>
      </c>
      <c r="L9" s="44">
        <f t="shared" si="7"/>
        <v>5366.89</v>
      </c>
      <c r="M9" s="44">
        <f t="shared" si="8"/>
        <v>6283.38</v>
      </c>
      <c r="N9" s="44">
        <f t="shared" si="9"/>
        <v>6991.23</v>
      </c>
      <c r="O9" s="44">
        <f t="shared" si="10"/>
        <v>7194.48</v>
      </c>
      <c r="Q9" s="45" t="s">
        <v>247</v>
      </c>
      <c r="R9" s="44">
        <f t="shared" si="11"/>
        <v>0</v>
      </c>
      <c r="S9" s="44">
        <f t="shared" si="12"/>
        <v>5106.09</v>
      </c>
      <c r="T9" s="44">
        <f t="shared" si="13"/>
        <v>5366.89</v>
      </c>
      <c r="U9" s="44">
        <f t="shared" si="14"/>
        <v>6283.38</v>
      </c>
      <c r="V9" s="44">
        <f t="shared" si="15"/>
        <v>6991.23</v>
      </c>
      <c r="W9" s="44">
        <f t="shared" si="16"/>
        <v>7194.48</v>
      </c>
      <c r="Y9" s="45" t="s">
        <v>247</v>
      </c>
      <c r="Z9" s="44">
        <f t="shared" si="17"/>
        <v>0</v>
      </c>
      <c r="AA9" s="44">
        <f t="shared" si="18"/>
        <v>5106.09</v>
      </c>
      <c r="AB9" s="44">
        <f t="shared" si="19"/>
        <v>5366.89</v>
      </c>
      <c r="AC9" s="44">
        <f t="shared" si="20"/>
        <v>6283.38</v>
      </c>
      <c r="AD9" s="44">
        <f t="shared" si="21"/>
        <v>6991.23</v>
      </c>
      <c r="AE9" s="44">
        <f t="shared" si="22"/>
        <v>7194.48</v>
      </c>
      <c r="AG9" s="45" t="s">
        <v>247</v>
      </c>
      <c r="AH9" s="44">
        <f t="shared" si="23"/>
        <v>0</v>
      </c>
      <c r="AI9" s="44">
        <f t="shared" si="24"/>
        <v>5106.09</v>
      </c>
      <c r="AJ9" s="44">
        <f t="shared" si="25"/>
        <v>5366.89</v>
      </c>
      <c r="AK9" s="44">
        <f t="shared" si="26"/>
        <v>6283.38</v>
      </c>
      <c r="AL9" s="44">
        <f t="shared" si="27"/>
        <v>6991.23</v>
      </c>
      <c r="AM9" s="44">
        <f t="shared" si="28"/>
        <v>7194.48</v>
      </c>
      <c r="AO9" s="45" t="s">
        <v>247</v>
      </c>
      <c r="AP9" s="44">
        <f t="shared" si="29"/>
        <v>0</v>
      </c>
      <c r="AQ9" s="44">
        <f t="shared" si="30"/>
        <v>5106.09</v>
      </c>
      <c r="AR9" s="44">
        <f t="shared" si="31"/>
        <v>5366.89</v>
      </c>
      <c r="AS9" s="44">
        <f t="shared" si="32"/>
        <v>6283.38</v>
      </c>
      <c r="AT9" s="44">
        <f t="shared" si="33"/>
        <v>6991.23</v>
      </c>
      <c r="AU9" s="44">
        <f t="shared" si="34"/>
        <v>7194.48</v>
      </c>
    </row>
    <row r="10" spans="1:47" s="29" customFormat="1" ht="29.25" customHeight="1" thickBot="1" x14ac:dyDescent="0.3">
      <c r="A10" s="45">
        <v>13</v>
      </c>
      <c r="B10" s="44">
        <f t="shared" si="0"/>
        <v>4759.37</v>
      </c>
      <c r="C10" s="44">
        <f t="shared" si="1"/>
        <v>5106.09</v>
      </c>
      <c r="D10" s="44">
        <f t="shared" si="2"/>
        <v>5366.89</v>
      </c>
      <c r="E10" s="44">
        <f t="shared" si="3"/>
        <v>5873.56</v>
      </c>
      <c r="F10" s="44">
        <f t="shared" si="4"/>
        <v>6573.97</v>
      </c>
      <c r="G10" s="44">
        <f t="shared" si="5"/>
        <v>6764.69</v>
      </c>
      <c r="I10" s="45">
        <v>13</v>
      </c>
      <c r="J10" s="44">
        <f t="shared" si="35"/>
        <v>4759.37</v>
      </c>
      <c r="K10" s="44">
        <f t="shared" si="6"/>
        <v>5106.09</v>
      </c>
      <c r="L10" s="44">
        <f t="shared" si="7"/>
        <v>5366.89</v>
      </c>
      <c r="M10" s="44">
        <f t="shared" si="8"/>
        <v>5873.56</v>
      </c>
      <c r="N10" s="44">
        <f t="shared" si="9"/>
        <v>6573.97</v>
      </c>
      <c r="O10" s="44">
        <f t="shared" si="10"/>
        <v>6764.69</v>
      </c>
      <c r="P10" s="30"/>
      <c r="Q10" s="45">
        <v>13</v>
      </c>
      <c r="R10" s="44">
        <f t="shared" si="11"/>
        <v>4759.37</v>
      </c>
      <c r="S10" s="44">
        <f t="shared" si="12"/>
        <v>5106.09</v>
      </c>
      <c r="T10" s="44">
        <f t="shared" si="13"/>
        <v>5366.89</v>
      </c>
      <c r="U10" s="44">
        <f t="shared" si="14"/>
        <v>5873.56</v>
      </c>
      <c r="V10" s="44">
        <f t="shared" si="15"/>
        <v>6573.97</v>
      </c>
      <c r="W10" s="44">
        <f t="shared" si="16"/>
        <v>6764.69</v>
      </c>
      <c r="Y10" s="45">
        <v>13</v>
      </c>
      <c r="Z10" s="44">
        <f t="shared" si="17"/>
        <v>4759.37</v>
      </c>
      <c r="AA10" s="44">
        <f t="shared" si="18"/>
        <v>5106.09</v>
      </c>
      <c r="AB10" s="44">
        <f t="shared" si="19"/>
        <v>5366.89</v>
      </c>
      <c r="AC10" s="44">
        <f t="shared" si="20"/>
        <v>5873.56</v>
      </c>
      <c r="AD10" s="44">
        <f t="shared" si="21"/>
        <v>6573.97</v>
      </c>
      <c r="AE10" s="44">
        <f t="shared" si="22"/>
        <v>6764.69</v>
      </c>
      <c r="AG10" s="45">
        <v>13</v>
      </c>
      <c r="AH10" s="44">
        <f t="shared" si="23"/>
        <v>4759.37</v>
      </c>
      <c r="AI10" s="44">
        <f t="shared" si="24"/>
        <v>5106.09</v>
      </c>
      <c r="AJ10" s="44">
        <f t="shared" si="25"/>
        <v>5366.89</v>
      </c>
      <c r="AK10" s="44">
        <f t="shared" si="26"/>
        <v>5873.56</v>
      </c>
      <c r="AL10" s="44">
        <f t="shared" si="27"/>
        <v>6573.97</v>
      </c>
      <c r="AM10" s="44">
        <f t="shared" si="28"/>
        <v>6764.69</v>
      </c>
      <c r="AO10" s="45">
        <v>13</v>
      </c>
      <c r="AP10" s="44">
        <f t="shared" si="29"/>
        <v>4759.37</v>
      </c>
      <c r="AQ10" s="44">
        <f t="shared" si="30"/>
        <v>5106.09</v>
      </c>
      <c r="AR10" s="44">
        <f t="shared" si="31"/>
        <v>5366.89</v>
      </c>
      <c r="AS10" s="44">
        <f t="shared" si="32"/>
        <v>5873.56</v>
      </c>
      <c r="AT10" s="44">
        <f t="shared" si="33"/>
        <v>6573.97</v>
      </c>
      <c r="AU10" s="44">
        <f t="shared" si="34"/>
        <v>6764.69</v>
      </c>
    </row>
    <row r="11" spans="1:47" s="29" customFormat="1" ht="29.25" customHeight="1" thickBot="1" x14ac:dyDescent="0.3">
      <c r="A11" s="45">
        <v>12</v>
      </c>
      <c r="B11" s="44">
        <f t="shared" si="0"/>
        <v>4310.8999999999996</v>
      </c>
      <c r="C11" s="44">
        <f t="shared" si="1"/>
        <v>4599.41</v>
      </c>
      <c r="D11" s="44">
        <f t="shared" si="2"/>
        <v>5210.41</v>
      </c>
      <c r="E11" s="44">
        <f t="shared" si="3"/>
        <v>5746.9</v>
      </c>
      <c r="F11" s="44">
        <f t="shared" si="4"/>
        <v>6439.85</v>
      </c>
      <c r="G11" s="44">
        <f t="shared" si="5"/>
        <v>6626.54</v>
      </c>
      <c r="I11" s="45">
        <v>12</v>
      </c>
      <c r="J11" s="44">
        <f t="shared" si="35"/>
        <v>4310.8999999999996</v>
      </c>
      <c r="K11" s="44">
        <f t="shared" si="6"/>
        <v>4599.41</v>
      </c>
      <c r="L11" s="44">
        <f t="shared" si="7"/>
        <v>5210.41</v>
      </c>
      <c r="M11" s="44">
        <f t="shared" si="8"/>
        <v>5746.9</v>
      </c>
      <c r="N11" s="44">
        <f t="shared" si="9"/>
        <v>6439.85</v>
      </c>
      <c r="O11" s="44">
        <f t="shared" si="10"/>
        <v>6626.54</v>
      </c>
      <c r="P11" s="30"/>
      <c r="Q11" s="45">
        <v>12</v>
      </c>
      <c r="R11" s="44">
        <f t="shared" si="11"/>
        <v>4310.8999999999996</v>
      </c>
      <c r="S11" s="44">
        <f t="shared" si="12"/>
        <v>4599.41</v>
      </c>
      <c r="T11" s="44">
        <f t="shared" si="13"/>
        <v>5210.41</v>
      </c>
      <c r="U11" s="44">
        <f t="shared" si="14"/>
        <v>5746.9</v>
      </c>
      <c r="V11" s="44">
        <f t="shared" si="15"/>
        <v>6439.85</v>
      </c>
      <c r="W11" s="44">
        <f t="shared" si="16"/>
        <v>6626.54</v>
      </c>
      <c r="Y11" s="45">
        <v>12</v>
      </c>
      <c r="Z11" s="44">
        <f t="shared" si="17"/>
        <v>4310.8999999999996</v>
      </c>
      <c r="AA11" s="44">
        <f t="shared" si="18"/>
        <v>4599.41</v>
      </c>
      <c r="AB11" s="44">
        <f t="shared" si="19"/>
        <v>5210.41</v>
      </c>
      <c r="AC11" s="44">
        <f t="shared" si="20"/>
        <v>5746.9</v>
      </c>
      <c r="AD11" s="44">
        <f t="shared" si="21"/>
        <v>6439.85</v>
      </c>
      <c r="AE11" s="44">
        <f t="shared" si="22"/>
        <v>6626.54</v>
      </c>
      <c r="AG11" s="45">
        <v>12</v>
      </c>
      <c r="AH11" s="44">
        <f t="shared" si="23"/>
        <v>4310.8999999999996</v>
      </c>
      <c r="AI11" s="44">
        <f t="shared" si="24"/>
        <v>4599.41</v>
      </c>
      <c r="AJ11" s="44">
        <f t="shared" si="25"/>
        <v>5210.41</v>
      </c>
      <c r="AK11" s="44">
        <f t="shared" si="26"/>
        <v>5746.9</v>
      </c>
      <c r="AL11" s="44">
        <f t="shared" si="27"/>
        <v>6439.85</v>
      </c>
      <c r="AM11" s="44">
        <f t="shared" si="28"/>
        <v>6626.54</v>
      </c>
      <c r="AO11" s="45">
        <v>12</v>
      </c>
      <c r="AP11" s="44">
        <f t="shared" si="29"/>
        <v>4310.8999999999996</v>
      </c>
      <c r="AQ11" s="44">
        <f t="shared" si="30"/>
        <v>4599.41</v>
      </c>
      <c r="AR11" s="44">
        <f t="shared" si="31"/>
        <v>5210.41</v>
      </c>
      <c r="AS11" s="44">
        <f t="shared" si="32"/>
        <v>5746.9</v>
      </c>
      <c r="AT11" s="44">
        <f t="shared" si="33"/>
        <v>6439.85</v>
      </c>
      <c r="AU11" s="44">
        <f t="shared" si="34"/>
        <v>6626.54</v>
      </c>
    </row>
    <row r="12" spans="1:47" s="29" customFormat="1" ht="29.25" customHeight="1" thickBot="1" x14ac:dyDescent="0.3">
      <c r="A12" s="45">
        <v>11</v>
      </c>
      <c r="B12" s="44">
        <f t="shared" si="0"/>
        <v>4178.3500000000004</v>
      </c>
      <c r="C12" s="44">
        <f t="shared" si="1"/>
        <v>4444.8599999999997</v>
      </c>
      <c r="D12" s="44">
        <f t="shared" si="2"/>
        <v>4748.43</v>
      </c>
      <c r="E12" s="44">
        <f t="shared" si="3"/>
        <v>5210.41</v>
      </c>
      <c r="F12" s="44">
        <f t="shared" si="4"/>
        <v>5881.02</v>
      </c>
      <c r="G12" s="44">
        <f t="shared" si="5"/>
        <v>6050.95</v>
      </c>
      <c r="I12" s="45">
        <v>11</v>
      </c>
      <c r="J12" s="44">
        <f t="shared" si="35"/>
        <v>4178.3500000000004</v>
      </c>
      <c r="K12" s="44">
        <f t="shared" si="6"/>
        <v>4444.8599999999997</v>
      </c>
      <c r="L12" s="44">
        <f t="shared" si="7"/>
        <v>4748.43</v>
      </c>
      <c r="M12" s="44">
        <f t="shared" si="8"/>
        <v>5210.41</v>
      </c>
      <c r="N12" s="44">
        <f t="shared" si="9"/>
        <v>5881.02</v>
      </c>
      <c r="O12" s="44">
        <f t="shared" si="10"/>
        <v>6050.95</v>
      </c>
      <c r="P12" s="30"/>
      <c r="Q12" s="45">
        <v>11</v>
      </c>
      <c r="R12" s="44">
        <f t="shared" si="11"/>
        <v>4178.3500000000004</v>
      </c>
      <c r="S12" s="44">
        <f t="shared" si="12"/>
        <v>4444.8599999999997</v>
      </c>
      <c r="T12" s="44">
        <f t="shared" si="13"/>
        <v>4748.43</v>
      </c>
      <c r="U12" s="44">
        <f t="shared" si="14"/>
        <v>5210.41</v>
      </c>
      <c r="V12" s="44">
        <f t="shared" si="15"/>
        <v>5881.02</v>
      </c>
      <c r="W12" s="44">
        <f t="shared" si="16"/>
        <v>6050.95</v>
      </c>
      <c r="Y12" s="45">
        <v>11</v>
      </c>
      <c r="Z12" s="44">
        <f t="shared" si="17"/>
        <v>4178.3500000000004</v>
      </c>
      <c r="AA12" s="44">
        <f t="shared" si="18"/>
        <v>4444.8599999999997</v>
      </c>
      <c r="AB12" s="44">
        <f t="shared" si="19"/>
        <v>4748.43</v>
      </c>
      <c r="AC12" s="44">
        <f t="shared" si="20"/>
        <v>5210.41</v>
      </c>
      <c r="AD12" s="44">
        <f t="shared" si="21"/>
        <v>5881.02</v>
      </c>
      <c r="AE12" s="44">
        <f t="shared" si="22"/>
        <v>6050.95</v>
      </c>
      <c r="AG12" s="45">
        <v>11</v>
      </c>
      <c r="AH12" s="44">
        <f t="shared" si="23"/>
        <v>4178.3500000000004</v>
      </c>
      <c r="AI12" s="44">
        <f t="shared" si="24"/>
        <v>4444.8599999999997</v>
      </c>
      <c r="AJ12" s="44">
        <f t="shared" si="25"/>
        <v>4748.43</v>
      </c>
      <c r="AK12" s="44">
        <f t="shared" si="26"/>
        <v>5210.41</v>
      </c>
      <c r="AL12" s="44">
        <f t="shared" si="27"/>
        <v>5881.02</v>
      </c>
      <c r="AM12" s="44">
        <f t="shared" si="28"/>
        <v>6050.95</v>
      </c>
      <c r="AO12" s="45">
        <v>11</v>
      </c>
      <c r="AP12" s="44">
        <f t="shared" si="29"/>
        <v>4178.3500000000004</v>
      </c>
      <c r="AQ12" s="44">
        <f t="shared" si="30"/>
        <v>4444.8599999999997</v>
      </c>
      <c r="AR12" s="44">
        <f t="shared" si="31"/>
        <v>4748.43</v>
      </c>
      <c r="AS12" s="44">
        <f t="shared" si="32"/>
        <v>5210.41</v>
      </c>
      <c r="AT12" s="44">
        <f t="shared" si="33"/>
        <v>5881.02</v>
      </c>
      <c r="AU12" s="44">
        <f t="shared" si="34"/>
        <v>6050.95</v>
      </c>
    </row>
    <row r="13" spans="1:47" s="29" customFormat="1" ht="29.25" customHeight="1" thickBot="1" x14ac:dyDescent="0.3">
      <c r="A13" s="45">
        <v>10</v>
      </c>
      <c r="B13" s="44">
        <f t="shared" si="0"/>
        <v>4038.42</v>
      </c>
      <c r="C13" s="44">
        <f t="shared" si="1"/>
        <v>4299.95</v>
      </c>
      <c r="D13" s="44">
        <f t="shared" si="2"/>
        <v>4599.41</v>
      </c>
      <c r="E13" s="44">
        <f t="shared" si="3"/>
        <v>4904.8900000000003</v>
      </c>
      <c r="F13" s="44">
        <f t="shared" si="4"/>
        <v>5486.13</v>
      </c>
      <c r="G13" s="44">
        <f t="shared" si="5"/>
        <v>5644.2</v>
      </c>
      <c r="I13" s="45">
        <v>10</v>
      </c>
      <c r="J13" s="44">
        <f t="shared" si="35"/>
        <v>4038.42</v>
      </c>
      <c r="K13" s="44">
        <f t="shared" si="6"/>
        <v>4299.95</v>
      </c>
      <c r="L13" s="44">
        <f t="shared" si="7"/>
        <v>4599.41</v>
      </c>
      <c r="M13" s="44">
        <f t="shared" si="8"/>
        <v>4904.8900000000003</v>
      </c>
      <c r="N13" s="44">
        <f t="shared" si="9"/>
        <v>5486.13</v>
      </c>
      <c r="O13" s="44">
        <f t="shared" si="10"/>
        <v>5644.2</v>
      </c>
      <c r="P13" s="30"/>
      <c r="Q13" s="45">
        <v>10</v>
      </c>
      <c r="R13" s="44">
        <f t="shared" si="11"/>
        <v>4038.42</v>
      </c>
      <c r="S13" s="44">
        <f t="shared" si="12"/>
        <v>4299.95</v>
      </c>
      <c r="T13" s="44">
        <f t="shared" si="13"/>
        <v>4599.41</v>
      </c>
      <c r="U13" s="44">
        <f t="shared" si="14"/>
        <v>4904.8900000000003</v>
      </c>
      <c r="V13" s="44">
        <f t="shared" si="15"/>
        <v>5486.13</v>
      </c>
      <c r="W13" s="44">
        <f t="shared" si="16"/>
        <v>5644.2</v>
      </c>
      <c r="Y13" s="45">
        <v>10</v>
      </c>
      <c r="Z13" s="44">
        <f t="shared" si="17"/>
        <v>4038.42</v>
      </c>
      <c r="AA13" s="44">
        <f t="shared" si="18"/>
        <v>4299.95</v>
      </c>
      <c r="AB13" s="44">
        <f t="shared" si="19"/>
        <v>4599.41</v>
      </c>
      <c r="AC13" s="44">
        <f t="shared" si="20"/>
        <v>4904.8900000000003</v>
      </c>
      <c r="AD13" s="44">
        <f t="shared" si="21"/>
        <v>5486.13</v>
      </c>
      <c r="AE13" s="44">
        <f t="shared" si="22"/>
        <v>5644.2</v>
      </c>
      <c r="AG13" s="45">
        <v>10</v>
      </c>
      <c r="AH13" s="44">
        <f t="shared" si="23"/>
        <v>4038.42</v>
      </c>
      <c r="AI13" s="44">
        <f t="shared" si="24"/>
        <v>4299.95</v>
      </c>
      <c r="AJ13" s="44">
        <f t="shared" si="25"/>
        <v>4599.41</v>
      </c>
      <c r="AK13" s="44">
        <f t="shared" si="26"/>
        <v>4904.8900000000003</v>
      </c>
      <c r="AL13" s="44">
        <f t="shared" si="27"/>
        <v>5486.13</v>
      </c>
      <c r="AM13" s="44">
        <f t="shared" si="28"/>
        <v>5644.2</v>
      </c>
      <c r="AO13" s="45">
        <v>10</v>
      </c>
      <c r="AP13" s="44">
        <f t="shared" si="29"/>
        <v>4038.42</v>
      </c>
      <c r="AQ13" s="44">
        <f t="shared" si="30"/>
        <v>4299.95</v>
      </c>
      <c r="AR13" s="44">
        <f t="shared" si="31"/>
        <v>4599.41</v>
      </c>
      <c r="AS13" s="44">
        <f t="shared" si="32"/>
        <v>4904.8900000000003</v>
      </c>
      <c r="AT13" s="44">
        <f t="shared" si="33"/>
        <v>5486.13</v>
      </c>
      <c r="AU13" s="44">
        <f t="shared" si="34"/>
        <v>5644.2</v>
      </c>
    </row>
    <row r="14" spans="1:47" s="29" customFormat="1" ht="29.25" customHeight="1" thickBot="1" x14ac:dyDescent="0.3">
      <c r="A14" s="45" t="s">
        <v>244</v>
      </c>
      <c r="B14" s="44">
        <f t="shared" si="0"/>
        <v>3620.1</v>
      </c>
      <c r="C14" s="44">
        <f t="shared" si="1"/>
        <v>3870.81</v>
      </c>
      <c r="D14" s="44">
        <f t="shared" si="2"/>
        <v>4035.07</v>
      </c>
      <c r="E14" s="44">
        <f t="shared" si="3"/>
        <v>4488.99</v>
      </c>
      <c r="F14" s="44">
        <f t="shared" si="4"/>
        <v>4875.1000000000004</v>
      </c>
      <c r="G14" s="44">
        <f t="shared" si="5"/>
        <v>5014.87</v>
      </c>
      <c r="I14" s="45" t="s">
        <v>244</v>
      </c>
      <c r="J14" s="44">
        <f t="shared" si="35"/>
        <v>3620.1</v>
      </c>
      <c r="K14" s="44">
        <f t="shared" si="6"/>
        <v>3870.81</v>
      </c>
      <c r="L14" s="44">
        <f t="shared" si="7"/>
        <v>4035.07</v>
      </c>
      <c r="M14" s="44">
        <f t="shared" si="8"/>
        <v>4488.99</v>
      </c>
      <c r="N14" s="44">
        <f t="shared" si="9"/>
        <v>4875.1000000000004</v>
      </c>
      <c r="O14" s="44">
        <f t="shared" si="10"/>
        <v>5014.87</v>
      </c>
      <c r="P14" s="30"/>
      <c r="Q14" s="45" t="s">
        <v>244</v>
      </c>
      <c r="R14" s="44">
        <f t="shared" si="11"/>
        <v>3620.1</v>
      </c>
      <c r="S14" s="44">
        <f t="shared" si="12"/>
        <v>3870.81</v>
      </c>
      <c r="T14" s="44">
        <f t="shared" si="13"/>
        <v>4035.07</v>
      </c>
      <c r="U14" s="44">
        <f t="shared" si="14"/>
        <v>4488.99</v>
      </c>
      <c r="V14" s="44">
        <f t="shared" si="15"/>
        <v>4875.1000000000004</v>
      </c>
      <c r="W14" s="44">
        <f t="shared" si="16"/>
        <v>5014.87</v>
      </c>
      <c r="Y14" s="45" t="s">
        <v>244</v>
      </c>
      <c r="Z14" s="44">
        <f t="shared" si="17"/>
        <v>3620.1</v>
      </c>
      <c r="AA14" s="44">
        <f t="shared" si="18"/>
        <v>3870.81</v>
      </c>
      <c r="AB14" s="44">
        <f t="shared" si="19"/>
        <v>4035.07</v>
      </c>
      <c r="AC14" s="44">
        <f t="shared" si="20"/>
        <v>4488.99</v>
      </c>
      <c r="AD14" s="44">
        <f t="shared" si="21"/>
        <v>4875.1000000000004</v>
      </c>
      <c r="AE14" s="44">
        <f t="shared" si="22"/>
        <v>5014.87</v>
      </c>
      <c r="AG14" s="45" t="s">
        <v>244</v>
      </c>
      <c r="AH14" s="44">
        <f t="shared" si="23"/>
        <v>3620.1</v>
      </c>
      <c r="AI14" s="44">
        <f t="shared" si="24"/>
        <v>3870.81</v>
      </c>
      <c r="AJ14" s="44">
        <f t="shared" si="25"/>
        <v>4035.07</v>
      </c>
      <c r="AK14" s="44">
        <f t="shared" si="26"/>
        <v>4488.99</v>
      </c>
      <c r="AL14" s="44">
        <f t="shared" si="27"/>
        <v>4875.1000000000004</v>
      </c>
      <c r="AM14" s="44">
        <f t="shared" si="28"/>
        <v>5014.87</v>
      </c>
      <c r="AO14" s="45" t="s">
        <v>244</v>
      </c>
      <c r="AP14" s="44">
        <f t="shared" si="29"/>
        <v>3620.1</v>
      </c>
      <c r="AQ14" s="44">
        <f t="shared" si="30"/>
        <v>3870.81</v>
      </c>
      <c r="AR14" s="44">
        <f t="shared" si="31"/>
        <v>4035.07</v>
      </c>
      <c r="AS14" s="44">
        <f t="shared" si="32"/>
        <v>4488.99</v>
      </c>
      <c r="AT14" s="44">
        <f t="shared" si="33"/>
        <v>4875.1000000000004</v>
      </c>
      <c r="AU14" s="44">
        <f t="shared" si="34"/>
        <v>5014.87</v>
      </c>
    </row>
    <row r="15" spans="1:47" s="29" customFormat="1" ht="29.25" customHeight="1" thickBot="1" x14ac:dyDescent="0.3">
      <c r="A15" s="45" t="s">
        <v>245</v>
      </c>
      <c r="B15" s="44">
        <f t="shared" si="0"/>
        <v>3620.1</v>
      </c>
      <c r="C15" s="44">
        <f t="shared" si="1"/>
        <v>3870.81</v>
      </c>
      <c r="D15" s="44">
        <f t="shared" si="2"/>
        <v>3925.58</v>
      </c>
      <c r="E15" s="44">
        <f t="shared" si="3"/>
        <v>4035.07</v>
      </c>
      <c r="F15" s="44">
        <f t="shared" si="4"/>
        <v>4488.99</v>
      </c>
      <c r="G15" s="44">
        <f t="shared" si="5"/>
        <v>4615.76</v>
      </c>
      <c r="I15" s="45" t="s">
        <v>245</v>
      </c>
      <c r="J15" s="44">
        <f t="shared" si="35"/>
        <v>3620.1</v>
      </c>
      <c r="K15" s="44">
        <f t="shared" si="6"/>
        <v>3870.81</v>
      </c>
      <c r="L15" s="44">
        <f t="shared" si="7"/>
        <v>3925.58</v>
      </c>
      <c r="M15" s="44">
        <f t="shared" si="8"/>
        <v>4035.07</v>
      </c>
      <c r="N15" s="44">
        <f t="shared" si="9"/>
        <v>4488.99</v>
      </c>
      <c r="O15" s="44">
        <f t="shared" si="10"/>
        <v>4615.76</v>
      </c>
      <c r="P15" s="30"/>
      <c r="Q15" s="45" t="s">
        <v>245</v>
      </c>
      <c r="R15" s="44">
        <f t="shared" si="11"/>
        <v>3620.1</v>
      </c>
      <c r="S15" s="44">
        <f t="shared" si="12"/>
        <v>3870.81</v>
      </c>
      <c r="T15" s="44">
        <f t="shared" si="13"/>
        <v>3925.58</v>
      </c>
      <c r="U15" s="44">
        <f t="shared" si="14"/>
        <v>4035.07</v>
      </c>
      <c r="V15" s="44">
        <f t="shared" si="15"/>
        <v>4488.99</v>
      </c>
      <c r="W15" s="44">
        <f t="shared" si="16"/>
        <v>4615.76</v>
      </c>
      <c r="Y15" s="45" t="s">
        <v>245</v>
      </c>
      <c r="Z15" s="44">
        <f t="shared" si="17"/>
        <v>3620.1</v>
      </c>
      <c r="AA15" s="44">
        <f t="shared" si="18"/>
        <v>3870.81</v>
      </c>
      <c r="AB15" s="44">
        <f t="shared" si="19"/>
        <v>3925.58</v>
      </c>
      <c r="AC15" s="44">
        <f t="shared" si="20"/>
        <v>4035.07</v>
      </c>
      <c r="AD15" s="44">
        <f t="shared" si="21"/>
        <v>4488.99</v>
      </c>
      <c r="AE15" s="44">
        <f t="shared" si="22"/>
        <v>4615.76</v>
      </c>
      <c r="AG15" s="45" t="s">
        <v>245</v>
      </c>
      <c r="AH15" s="44">
        <f t="shared" si="23"/>
        <v>3620.1</v>
      </c>
      <c r="AI15" s="44">
        <f t="shared" si="24"/>
        <v>3870.81</v>
      </c>
      <c r="AJ15" s="44">
        <f t="shared" si="25"/>
        <v>3925.58</v>
      </c>
      <c r="AK15" s="44">
        <f t="shared" si="26"/>
        <v>4035.07</v>
      </c>
      <c r="AL15" s="44">
        <f t="shared" si="27"/>
        <v>4488.99</v>
      </c>
      <c r="AM15" s="44">
        <f t="shared" si="28"/>
        <v>4615.76</v>
      </c>
      <c r="AO15" s="45" t="s">
        <v>245</v>
      </c>
      <c r="AP15" s="44">
        <f t="shared" si="29"/>
        <v>3620.1</v>
      </c>
      <c r="AQ15" s="44">
        <f t="shared" si="30"/>
        <v>3870.81</v>
      </c>
      <c r="AR15" s="44">
        <f t="shared" si="31"/>
        <v>3925.58</v>
      </c>
      <c r="AS15" s="44">
        <f t="shared" si="32"/>
        <v>4035.07</v>
      </c>
      <c r="AT15" s="44">
        <f t="shared" si="33"/>
        <v>4488.99</v>
      </c>
      <c r="AU15" s="44">
        <f t="shared" si="34"/>
        <v>4615.76</v>
      </c>
    </row>
    <row r="16" spans="1:47" s="29" customFormat="1" ht="29.25" customHeight="1" thickBot="1" x14ac:dyDescent="0.3">
      <c r="A16" s="45">
        <v>8</v>
      </c>
      <c r="B16" s="44">
        <f t="shared" si="0"/>
        <v>3419.52</v>
      </c>
      <c r="C16" s="44">
        <f t="shared" si="1"/>
        <v>3659.02</v>
      </c>
      <c r="D16" s="44">
        <f t="shared" si="2"/>
        <v>3795.52</v>
      </c>
      <c r="E16" s="44">
        <f t="shared" si="3"/>
        <v>3925.58</v>
      </c>
      <c r="F16" s="44">
        <f t="shared" si="4"/>
        <v>4069.31</v>
      </c>
      <c r="G16" s="44">
        <f t="shared" si="5"/>
        <v>4158.2700000000004</v>
      </c>
      <c r="I16" s="45">
        <v>8</v>
      </c>
      <c r="J16" s="44">
        <f t="shared" si="35"/>
        <v>3419.52</v>
      </c>
      <c r="K16" s="44">
        <f t="shared" si="6"/>
        <v>3659.02</v>
      </c>
      <c r="L16" s="44">
        <f t="shared" si="7"/>
        <v>3795.52</v>
      </c>
      <c r="M16" s="44">
        <f t="shared" si="8"/>
        <v>3925.58</v>
      </c>
      <c r="N16" s="44">
        <f t="shared" si="9"/>
        <v>4069.31</v>
      </c>
      <c r="O16" s="44">
        <f t="shared" si="10"/>
        <v>4158.2700000000004</v>
      </c>
      <c r="P16" s="30"/>
      <c r="Q16" s="45">
        <v>8</v>
      </c>
      <c r="R16" s="44">
        <f t="shared" si="11"/>
        <v>3419.52</v>
      </c>
      <c r="S16" s="44">
        <f t="shared" si="12"/>
        <v>3659.02</v>
      </c>
      <c r="T16" s="44">
        <f t="shared" si="13"/>
        <v>3795.52</v>
      </c>
      <c r="U16" s="44">
        <f t="shared" si="14"/>
        <v>3925.58</v>
      </c>
      <c r="V16" s="44">
        <f t="shared" si="15"/>
        <v>4069.31</v>
      </c>
      <c r="W16" s="44">
        <f t="shared" si="16"/>
        <v>4158.2700000000004</v>
      </c>
      <c r="Y16" s="45">
        <v>8</v>
      </c>
      <c r="Z16" s="44">
        <f t="shared" si="17"/>
        <v>3419.52</v>
      </c>
      <c r="AA16" s="44">
        <f t="shared" si="18"/>
        <v>3659.02</v>
      </c>
      <c r="AB16" s="44">
        <f t="shared" si="19"/>
        <v>3795.52</v>
      </c>
      <c r="AC16" s="44">
        <f t="shared" si="20"/>
        <v>3925.58</v>
      </c>
      <c r="AD16" s="44">
        <f t="shared" si="21"/>
        <v>4069.31</v>
      </c>
      <c r="AE16" s="44">
        <f t="shared" si="22"/>
        <v>4158.2700000000004</v>
      </c>
      <c r="AG16" s="45">
        <v>8</v>
      </c>
      <c r="AH16" s="44">
        <f t="shared" si="23"/>
        <v>3419.52</v>
      </c>
      <c r="AI16" s="44">
        <f t="shared" si="24"/>
        <v>3659.02</v>
      </c>
      <c r="AJ16" s="44">
        <f t="shared" si="25"/>
        <v>3795.52</v>
      </c>
      <c r="AK16" s="44">
        <f t="shared" si="26"/>
        <v>3925.58</v>
      </c>
      <c r="AL16" s="44">
        <f t="shared" si="27"/>
        <v>4069.31</v>
      </c>
      <c r="AM16" s="44">
        <f t="shared" si="28"/>
        <v>4158.2700000000004</v>
      </c>
      <c r="AO16" s="45">
        <v>8</v>
      </c>
      <c r="AP16" s="44">
        <f t="shared" si="29"/>
        <v>3419.52</v>
      </c>
      <c r="AQ16" s="44">
        <f t="shared" si="30"/>
        <v>3659.02</v>
      </c>
      <c r="AR16" s="44">
        <f t="shared" si="31"/>
        <v>3795.52</v>
      </c>
      <c r="AS16" s="44">
        <f t="shared" si="32"/>
        <v>3925.58</v>
      </c>
      <c r="AT16" s="44">
        <f t="shared" si="33"/>
        <v>4069.31</v>
      </c>
      <c r="AU16" s="44">
        <f t="shared" si="34"/>
        <v>4158.2700000000004</v>
      </c>
    </row>
    <row r="17" spans="1:47" s="29" customFormat="1" ht="29.25" customHeight="1" thickBot="1" x14ac:dyDescent="0.3">
      <c r="A17" s="45">
        <v>7</v>
      </c>
      <c r="B17" s="44">
        <f t="shared" si="0"/>
        <v>3235.83</v>
      </c>
      <c r="C17" s="44">
        <f t="shared" si="1"/>
        <v>3469.72</v>
      </c>
      <c r="D17" s="44">
        <f t="shared" si="2"/>
        <v>3645.69</v>
      </c>
      <c r="E17" s="44">
        <f t="shared" si="3"/>
        <v>3781.85</v>
      </c>
      <c r="F17" s="44">
        <f t="shared" si="4"/>
        <v>3891.36</v>
      </c>
      <c r="G17" s="44">
        <f t="shared" si="5"/>
        <v>3987.16</v>
      </c>
      <c r="I17" s="45">
        <v>7</v>
      </c>
      <c r="J17" s="44">
        <f t="shared" si="35"/>
        <v>3235.83</v>
      </c>
      <c r="K17" s="44">
        <f t="shared" si="6"/>
        <v>3469.72</v>
      </c>
      <c r="L17" s="44">
        <f t="shared" si="7"/>
        <v>3645.69</v>
      </c>
      <c r="M17" s="44">
        <f t="shared" si="8"/>
        <v>3781.85</v>
      </c>
      <c r="N17" s="44">
        <f t="shared" si="9"/>
        <v>3891.36</v>
      </c>
      <c r="O17" s="44">
        <f t="shared" si="10"/>
        <v>3987.16</v>
      </c>
      <c r="P17" s="30"/>
      <c r="Q17" s="45">
        <v>7</v>
      </c>
      <c r="R17" s="44">
        <f t="shared" si="11"/>
        <v>3235.83</v>
      </c>
      <c r="S17" s="44">
        <f t="shared" si="12"/>
        <v>3469.72</v>
      </c>
      <c r="T17" s="44">
        <f t="shared" si="13"/>
        <v>3645.69</v>
      </c>
      <c r="U17" s="44">
        <f t="shared" si="14"/>
        <v>3781.85</v>
      </c>
      <c r="V17" s="44">
        <f t="shared" si="15"/>
        <v>3891.36</v>
      </c>
      <c r="W17" s="44">
        <f t="shared" si="16"/>
        <v>3987.16</v>
      </c>
      <c r="Y17" s="45">
        <v>7</v>
      </c>
      <c r="Z17" s="44">
        <f t="shared" si="17"/>
        <v>3235.83</v>
      </c>
      <c r="AA17" s="44">
        <f t="shared" si="18"/>
        <v>3469.72</v>
      </c>
      <c r="AB17" s="44">
        <f t="shared" si="19"/>
        <v>3645.69</v>
      </c>
      <c r="AC17" s="44">
        <f t="shared" si="20"/>
        <v>3781.85</v>
      </c>
      <c r="AD17" s="44">
        <f t="shared" si="21"/>
        <v>3891.36</v>
      </c>
      <c r="AE17" s="44">
        <f t="shared" si="22"/>
        <v>3987.16</v>
      </c>
      <c r="AG17" s="45">
        <v>7</v>
      </c>
      <c r="AH17" s="44">
        <f t="shared" si="23"/>
        <v>3235.83</v>
      </c>
      <c r="AI17" s="44">
        <f t="shared" si="24"/>
        <v>3469.72</v>
      </c>
      <c r="AJ17" s="44">
        <f t="shared" si="25"/>
        <v>3645.69</v>
      </c>
      <c r="AK17" s="44">
        <f t="shared" si="26"/>
        <v>3781.85</v>
      </c>
      <c r="AL17" s="44">
        <f t="shared" si="27"/>
        <v>3891.36</v>
      </c>
      <c r="AM17" s="44">
        <f t="shared" si="28"/>
        <v>3987.16</v>
      </c>
      <c r="AO17" s="45">
        <v>7</v>
      </c>
      <c r="AP17" s="44">
        <f t="shared" si="29"/>
        <v>3235.83</v>
      </c>
      <c r="AQ17" s="44">
        <f t="shared" si="30"/>
        <v>3469.72</v>
      </c>
      <c r="AR17" s="44">
        <f t="shared" si="31"/>
        <v>3645.69</v>
      </c>
      <c r="AS17" s="44">
        <f t="shared" si="32"/>
        <v>3781.85</v>
      </c>
      <c r="AT17" s="44">
        <f t="shared" si="33"/>
        <v>3891.36</v>
      </c>
      <c r="AU17" s="44">
        <f t="shared" si="34"/>
        <v>3987.16</v>
      </c>
    </row>
    <row r="18" spans="1:47" s="29" customFormat="1" ht="29.25" customHeight="1" thickBot="1" x14ac:dyDescent="0.3">
      <c r="A18" s="45">
        <v>6</v>
      </c>
      <c r="B18" s="44">
        <f t="shared" si="0"/>
        <v>3186.57</v>
      </c>
      <c r="C18" s="44">
        <f t="shared" si="1"/>
        <v>3418.08</v>
      </c>
      <c r="D18" s="44">
        <f t="shared" si="2"/>
        <v>3547.2</v>
      </c>
      <c r="E18" s="44">
        <f t="shared" si="3"/>
        <v>3679.2</v>
      </c>
      <c r="F18" s="44">
        <f t="shared" si="4"/>
        <v>3768.15</v>
      </c>
      <c r="G18" s="44">
        <f t="shared" si="5"/>
        <v>3863.96</v>
      </c>
      <c r="I18" s="45">
        <v>6</v>
      </c>
      <c r="J18" s="44">
        <f t="shared" si="35"/>
        <v>3186.57</v>
      </c>
      <c r="K18" s="44">
        <f t="shared" si="6"/>
        <v>3418.08</v>
      </c>
      <c r="L18" s="44">
        <f t="shared" si="7"/>
        <v>3547.2</v>
      </c>
      <c r="M18" s="44">
        <f t="shared" si="8"/>
        <v>3679.2</v>
      </c>
      <c r="N18" s="44">
        <f t="shared" si="9"/>
        <v>3768.15</v>
      </c>
      <c r="O18" s="44">
        <f t="shared" si="10"/>
        <v>3863.96</v>
      </c>
      <c r="P18" s="30"/>
      <c r="Q18" s="45">
        <v>6</v>
      </c>
      <c r="R18" s="44">
        <f t="shared" si="11"/>
        <v>3186.57</v>
      </c>
      <c r="S18" s="44">
        <f t="shared" si="12"/>
        <v>3418.08</v>
      </c>
      <c r="T18" s="44">
        <f t="shared" si="13"/>
        <v>3547.2</v>
      </c>
      <c r="U18" s="44">
        <f t="shared" si="14"/>
        <v>3679.2</v>
      </c>
      <c r="V18" s="44">
        <f t="shared" si="15"/>
        <v>3768.15</v>
      </c>
      <c r="W18" s="44">
        <f t="shared" si="16"/>
        <v>3863.96</v>
      </c>
      <c r="Y18" s="45">
        <v>6</v>
      </c>
      <c r="Z18" s="44">
        <f t="shared" si="17"/>
        <v>3186.57</v>
      </c>
      <c r="AA18" s="44">
        <f t="shared" si="18"/>
        <v>3418.08</v>
      </c>
      <c r="AB18" s="44">
        <f t="shared" si="19"/>
        <v>3547.2</v>
      </c>
      <c r="AC18" s="44">
        <f t="shared" si="20"/>
        <v>3679.2</v>
      </c>
      <c r="AD18" s="44">
        <f t="shared" si="21"/>
        <v>3768.15</v>
      </c>
      <c r="AE18" s="44">
        <f t="shared" si="22"/>
        <v>3863.96</v>
      </c>
      <c r="AG18" s="45">
        <v>6</v>
      </c>
      <c r="AH18" s="44">
        <f t="shared" si="23"/>
        <v>3186.57</v>
      </c>
      <c r="AI18" s="44">
        <f t="shared" si="24"/>
        <v>3418.08</v>
      </c>
      <c r="AJ18" s="44">
        <f t="shared" si="25"/>
        <v>3547.2</v>
      </c>
      <c r="AK18" s="44">
        <f t="shared" si="26"/>
        <v>3679.2</v>
      </c>
      <c r="AL18" s="44">
        <f t="shared" si="27"/>
        <v>3768.15</v>
      </c>
      <c r="AM18" s="44">
        <f t="shared" si="28"/>
        <v>3863.96</v>
      </c>
      <c r="AO18" s="45">
        <v>6</v>
      </c>
      <c r="AP18" s="44">
        <f t="shared" si="29"/>
        <v>3186.57</v>
      </c>
      <c r="AQ18" s="44">
        <f t="shared" si="30"/>
        <v>3418.08</v>
      </c>
      <c r="AR18" s="44">
        <f t="shared" si="31"/>
        <v>3547.2</v>
      </c>
      <c r="AS18" s="44">
        <f t="shared" si="32"/>
        <v>3679.2</v>
      </c>
      <c r="AT18" s="44">
        <f t="shared" si="33"/>
        <v>3768.15</v>
      </c>
      <c r="AU18" s="44">
        <f t="shared" si="34"/>
        <v>3863.96</v>
      </c>
    </row>
    <row r="19" spans="1:47" s="29" customFormat="1" ht="29.25" customHeight="1" thickBot="1" x14ac:dyDescent="0.3">
      <c r="A19" s="45">
        <v>5</v>
      </c>
      <c r="B19" s="44">
        <f t="shared" si="0"/>
        <v>3073.97</v>
      </c>
      <c r="C19" s="44">
        <f t="shared" si="1"/>
        <v>3301.87</v>
      </c>
      <c r="D19" s="44">
        <f t="shared" si="2"/>
        <v>3430.99</v>
      </c>
      <c r="E19" s="44">
        <f t="shared" si="3"/>
        <v>3553.66</v>
      </c>
      <c r="F19" s="44">
        <f t="shared" si="4"/>
        <v>3652.34</v>
      </c>
      <c r="G19" s="44">
        <f t="shared" si="5"/>
        <v>3720.25</v>
      </c>
      <c r="I19" s="45">
        <v>5</v>
      </c>
      <c r="J19" s="44">
        <f t="shared" si="35"/>
        <v>3073.97</v>
      </c>
      <c r="K19" s="44">
        <f t="shared" si="6"/>
        <v>3301.87</v>
      </c>
      <c r="L19" s="44">
        <f t="shared" si="7"/>
        <v>3430.99</v>
      </c>
      <c r="M19" s="44">
        <f t="shared" si="8"/>
        <v>3553.66</v>
      </c>
      <c r="N19" s="44">
        <f t="shared" si="9"/>
        <v>3652.34</v>
      </c>
      <c r="O19" s="44">
        <f t="shared" si="10"/>
        <v>3720.25</v>
      </c>
      <c r="P19" s="30"/>
      <c r="Q19" s="45">
        <v>5</v>
      </c>
      <c r="R19" s="44">
        <f t="shared" si="11"/>
        <v>3073.97</v>
      </c>
      <c r="S19" s="44">
        <f t="shared" si="12"/>
        <v>3301.87</v>
      </c>
      <c r="T19" s="44">
        <f t="shared" si="13"/>
        <v>3430.99</v>
      </c>
      <c r="U19" s="44">
        <f t="shared" si="14"/>
        <v>3553.66</v>
      </c>
      <c r="V19" s="44">
        <f t="shared" si="15"/>
        <v>3652.34</v>
      </c>
      <c r="W19" s="44">
        <f t="shared" si="16"/>
        <v>3720.25</v>
      </c>
      <c r="Y19" s="45">
        <v>5</v>
      </c>
      <c r="Z19" s="44">
        <f t="shared" si="17"/>
        <v>3073.97</v>
      </c>
      <c r="AA19" s="44">
        <f t="shared" si="18"/>
        <v>3301.87</v>
      </c>
      <c r="AB19" s="44">
        <f t="shared" si="19"/>
        <v>3430.99</v>
      </c>
      <c r="AC19" s="44">
        <f t="shared" si="20"/>
        <v>3553.66</v>
      </c>
      <c r="AD19" s="44">
        <f t="shared" si="21"/>
        <v>3652.34</v>
      </c>
      <c r="AE19" s="44">
        <f t="shared" si="22"/>
        <v>3720.25</v>
      </c>
      <c r="AG19" s="45">
        <v>5</v>
      </c>
      <c r="AH19" s="44">
        <f t="shared" si="23"/>
        <v>3073.97</v>
      </c>
      <c r="AI19" s="44">
        <f t="shared" si="24"/>
        <v>3301.87</v>
      </c>
      <c r="AJ19" s="44">
        <f t="shared" si="25"/>
        <v>3430.99</v>
      </c>
      <c r="AK19" s="44">
        <f t="shared" si="26"/>
        <v>3553.66</v>
      </c>
      <c r="AL19" s="44">
        <f t="shared" si="27"/>
        <v>3652.34</v>
      </c>
      <c r="AM19" s="44">
        <f t="shared" si="28"/>
        <v>3720.25</v>
      </c>
      <c r="AO19" s="45">
        <v>5</v>
      </c>
      <c r="AP19" s="44">
        <f t="shared" si="29"/>
        <v>3073.97</v>
      </c>
      <c r="AQ19" s="44">
        <f t="shared" si="30"/>
        <v>3301.87</v>
      </c>
      <c r="AR19" s="44">
        <f t="shared" si="31"/>
        <v>3430.99</v>
      </c>
      <c r="AS19" s="44">
        <f t="shared" si="32"/>
        <v>3553.66</v>
      </c>
      <c r="AT19" s="44">
        <f t="shared" si="33"/>
        <v>3652.34</v>
      </c>
      <c r="AU19" s="44">
        <f t="shared" si="34"/>
        <v>3720.25</v>
      </c>
    </row>
    <row r="20" spans="1:47" s="29" customFormat="1" ht="29.25" customHeight="1" thickBot="1" x14ac:dyDescent="0.3">
      <c r="A20" s="45">
        <v>4</v>
      </c>
      <c r="B20" s="44">
        <f t="shared" si="0"/>
        <v>2949.24</v>
      </c>
      <c r="C20" s="44">
        <f t="shared" si="1"/>
        <v>3179.22</v>
      </c>
      <c r="D20" s="44">
        <f t="shared" si="2"/>
        <v>3340.61</v>
      </c>
      <c r="E20" s="44">
        <f t="shared" si="3"/>
        <v>3430.99</v>
      </c>
      <c r="F20" s="44">
        <f t="shared" si="4"/>
        <v>3521.39</v>
      </c>
      <c r="G20" s="44">
        <f t="shared" si="5"/>
        <v>3579.47</v>
      </c>
      <c r="I20" s="45">
        <v>4</v>
      </c>
      <c r="J20" s="44">
        <f t="shared" si="35"/>
        <v>2949.24</v>
      </c>
      <c r="K20" s="44">
        <f t="shared" si="6"/>
        <v>3179.22</v>
      </c>
      <c r="L20" s="44">
        <f t="shared" si="7"/>
        <v>3340.61</v>
      </c>
      <c r="M20" s="44">
        <f t="shared" si="8"/>
        <v>3430.99</v>
      </c>
      <c r="N20" s="44">
        <f t="shared" si="9"/>
        <v>3521.39</v>
      </c>
      <c r="O20" s="44">
        <f t="shared" si="10"/>
        <v>3579.47</v>
      </c>
      <c r="P20" s="30"/>
      <c r="Q20" s="45">
        <v>4</v>
      </c>
      <c r="R20" s="44">
        <f t="shared" si="11"/>
        <v>2949.24</v>
      </c>
      <c r="S20" s="44">
        <f t="shared" si="12"/>
        <v>3179.22</v>
      </c>
      <c r="T20" s="44">
        <f t="shared" si="13"/>
        <v>3340.61</v>
      </c>
      <c r="U20" s="44">
        <f t="shared" si="14"/>
        <v>3430.99</v>
      </c>
      <c r="V20" s="44">
        <f t="shared" si="15"/>
        <v>3521.39</v>
      </c>
      <c r="W20" s="44">
        <f t="shared" si="16"/>
        <v>3579.47</v>
      </c>
      <c r="Y20" s="45">
        <v>4</v>
      </c>
      <c r="Z20" s="44">
        <f t="shared" si="17"/>
        <v>2949.24</v>
      </c>
      <c r="AA20" s="44">
        <f t="shared" si="18"/>
        <v>3179.22</v>
      </c>
      <c r="AB20" s="44">
        <f t="shared" si="19"/>
        <v>3340.61</v>
      </c>
      <c r="AC20" s="44">
        <f t="shared" si="20"/>
        <v>3430.99</v>
      </c>
      <c r="AD20" s="44">
        <f t="shared" si="21"/>
        <v>3521.39</v>
      </c>
      <c r="AE20" s="44">
        <f t="shared" si="22"/>
        <v>3579.47</v>
      </c>
      <c r="AG20" s="45">
        <v>4</v>
      </c>
      <c r="AH20" s="44">
        <f t="shared" si="23"/>
        <v>2949.24</v>
      </c>
      <c r="AI20" s="44">
        <f t="shared" si="24"/>
        <v>3179.22</v>
      </c>
      <c r="AJ20" s="44">
        <f t="shared" si="25"/>
        <v>3340.61</v>
      </c>
      <c r="AK20" s="44">
        <f t="shared" si="26"/>
        <v>3430.99</v>
      </c>
      <c r="AL20" s="44">
        <f t="shared" si="27"/>
        <v>3521.39</v>
      </c>
      <c r="AM20" s="44">
        <f t="shared" si="28"/>
        <v>3579.47</v>
      </c>
      <c r="AO20" s="45">
        <v>4</v>
      </c>
      <c r="AP20" s="44">
        <f t="shared" si="29"/>
        <v>2949.24</v>
      </c>
      <c r="AQ20" s="44">
        <f t="shared" si="30"/>
        <v>3179.22</v>
      </c>
      <c r="AR20" s="44">
        <f t="shared" si="31"/>
        <v>3340.61</v>
      </c>
      <c r="AS20" s="44">
        <f t="shared" si="32"/>
        <v>3430.99</v>
      </c>
      <c r="AT20" s="44">
        <f t="shared" si="33"/>
        <v>3521.39</v>
      </c>
      <c r="AU20" s="44">
        <f t="shared" si="34"/>
        <v>3579.47</v>
      </c>
    </row>
    <row r="21" spans="1:47" s="29" customFormat="1" ht="29.25" customHeight="1" thickBot="1" x14ac:dyDescent="0.3">
      <c r="A21" s="45">
        <v>3</v>
      </c>
      <c r="B21" s="44">
        <f t="shared" si="0"/>
        <v>2915.57</v>
      </c>
      <c r="C21" s="44">
        <f t="shared" si="1"/>
        <v>3140.47</v>
      </c>
      <c r="D21" s="44">
        <f t="shared" si="2"/>
        <v>3205.03</v>
      </c>
      <c r="E21" s="44">
        <f t="shared" si="3"/>
        <v>3308.32</v>
      </c>
      <c r="F21" s="44">
        <f t="shared" si="4"/>
        <v>3392.25</v>
      </c>
      <c r="G21" s="44">
        <f t="shared" si="5"/>
        <v>3463.27</v>
      </c>
      <c r="I21" s="45">
        <v>3</v>
      </c>
      <c r="J21" s="44">
        <f t="shared" si="35"/>
        <v>2915.57</v>
      </c>
      <c r="K21" s="44">
        <f t="shared" si="6"/>
        <v>3140.47</v>
      </c>
      <c r="L21" s="44">
        <f t="shared" si="7"/>
        <v>3205.03</v>
      </c>
      <c r="M21" s="44">
        <f t="shared" si="8"/>
        <v>3308.32</v>
      </c>
      <c r="N21" s="44">
        <f t="shared" si="9"/>
        <v>3392.25</v>
      </c>
      <c r="O21" s="44">
        <f t="shared" si="10"/>
        <v>3463.27</v>
      </c>
      <c r="P21" s="30"/>
      <c r="Q21" s="45">
        <v>3</v>
      </c>
      <c r="R21" s="44">
        <f t="shared" si="11"/>
        <v>2915.57</v>
      </c>
      <c r="S21" s="44">
        <f t="shared" si="12"/>
        <v>3140.47</v>
      </c>
      <c r="T21" s="44">
        <f t="shared" si="13"/>
        <v>3205.03</v>
      </c>
      <c r="U21" s="44">
        <f t="shared" si="14"/>
        <v>3308.32</v>
      </c>
      <c r="V21" s="44">
        <f t="shared" si="15"/>
        <v>3392.25</v>
      </c>
      <c r="W21" s="44">
        <f t="shared" si="16"/>
        <v>3463.27</v>
      </c>
      <c r="Y21" s="45">
        <v>3</v>
      </c>
      <c r="Z21" s="44">
        <f t="shared" si="17"/>
        <v>2915.57</v>
      </c>
      <c r="AA21" s="44">
        <f t="shared" si="18"/>
        <v>3140.47</v>
      </c>
      <c r="AB21" s="44">
        <f t="shared" si="19"/>
        <v>3205.03</v>
      </c>
      <c r="AC21" s="44">
        <f t="shared" si="20"/>
        <v>3308.32</v>
      </c>
      <c r="AD21" s="44">
        <f t="shared" si="21"/>
        <v>3392.25</v>
      </c>
      <c r="AE21" s="44">
        <f t="shared" si="22"/>
        <v>3463.27</v>
      </c>
      <c r="AG21" s="45">
        <v>3</v>
      </c>
      <c r="AH21" s="44">
        <f t="shared" si="23"/>
        <v>2915.57</v>
      </c>
      <c r="AI21" s="44">
        <f t="shared" si="24"/>
        <v>3140.47</v>
      </c>
      <c r="AJ21" s="44">
        <f t="shared" si="25"/>
        <v>3205.03</v>
      </c>
      <c r="AK21" s="44">
        <f t="shared" si="26"/>
        <v>3308.32</v>
      </c>
      <c r="AL21" s="44">
        <f t="shared" si="27"/>
        <v>3392.25</v>
      </c>
      <c r="AM21" s="44">
        <f t="shared" si="28"/>
        <v>3463.27</v>
      </c>
      <c r="AO21" s="45">
        <v>3</v>
      </c>
      <c r="AP21" s="44">
        <f t="shared" si="29"/>
        <v>2915.57</v>
      </c>
      <c r="AQ21" s="44">
        <f t="shared" si="30"/>
        <v>3140.47</v>
      </c>
      <c r="AR21" s="44">
        <f t="shared" si="31"/>
        <v>3205.03</v>
      </c>
      <c r="AS21" s="44">
        <f t="shared" si="32"/>
        <v>3308.32</v>
      </c>
      <c r="AT21" s="44">
        <f t="shared" si="33"/>
        <v>3392.25</v>
      </c>
      <c r="AU21" s="44">
        <f t="shared" si="34"/>
        <v>3463.27</v>
      </c>
    </row>
    <row r="22" spans="1:47" s="29" customFormat="1" ht="29.25" customHeight="1" thickBot="1" x14ac:dyDescent="0.3">
      <c r="A22" s="45" t="s">
        <v>248</v>
      </c>
      <c r="B22" s="44">
        <f t="shared" si="0"/>
        <v>2811.2</v>
      </c>
      <c r="C22" s="44">
        <f t="shared" si="1"/>
        <v>3030.72</v>
      </c>
      <c r="D22" s="44">
        <f t="shared" si="2"/>
        <v>3114.64</v>
      </c>
      <c r="E22" s="44">
        <f t="shared" si="3"/>
        <v>3217.96</v>
      </c>
      <c r="F22" s="44">
        <f t="shared" si="4"/>
        <v>3288.97</v>
      </c>
      <c r="G22" s="44">
        <f t="shared" si="5"/>
        <v>3385.81</v>
      </c>
      <c r="I22" s="45" t="s">
        <v>248</v>
      </c>
      <c r="J22" s="44">
        <f t="shared" si="35"/>
        <v>2811.2</v>
      </c>
      <c r="K22" s="44">
        <f t="shared" si="6"/>
        <v>3030.72</v>
      </c>
      <c r="L22" s="44">
        <f t="shared" si="7"/>
        <v>3114.64</v>
      </c>
      <c r="M22" s="44">
        <f t="shared" si="8"/>
        <v>3217.96</v>
      </c>
      <c r="N22" s="44">
        <f t="shared" si="9"/>
        <v>3288.97</v>
      </c>
      <c r="O22" s="44">
        <f t="shared" si="10"/>
        <v>3385.81</v>
      </c>
      <c r="P22" s="30"/>
      <c r="Q22" s="45" t="s">
        <v>248</v>
      </c>
      <c r="R22" s="44">
        <f t="shared" si="11"/>
        <v>2811.2</v>
      </c>
      <c r="S22" s="44">
        <f t="shared" si="12"/>
        <v>3030.72</v>
      </c>
      <c r="T22" s="44">
        <f t="shared" si="13"/>
        <v>3114.64</v>
      </c>
      <c r="U22" s="44">
        <f t="shared" si="14"/>
        <v>3217.96</v>
      </c>
      <c r="V22" s="44">
        <f t="shared" si="15"/>
        <v>3288.97</v>
      </c>
      <c r="W22" s="44">
        <f t="shared" si="16"/>
        <v>3385.81</v>
      </c>
      <c r="Y22" s="45" t="s">
        <v>248</v>
      </c>
      <c r="Z22" s="44">
        <f t="shared" si="17"/>
        <v>2811.2</v>
      </c>
      <c r="AA22" s="44">
        <f t="shared" si="18"/>
        <v>3030.72</v>
      </c>
      <c r="AB22" s="44">
        <f t="shared" si="19"/>
        <v>3114.64</v>
      </c>
      <c r="AC22" s="44">
        <f t="shared" si="20"/>
        <v>3217.96</v>
      </c>
      <c r="AD22" s="44">
        <f t="shared" si="21"/>
        <v>3288.97</v>
      </c>
      <c r="AE22" s="44">
        <f t="shared" si="22"/>
        <v>3385.81</v>
      </c>
      <c r="AG22" s="45" t="s">
        <v>248</v>
      </c>
      <c r="AH22" s="44">
        <f t="shared" si="23"/>
        <v>2811.2</v>
      </c>
      <c r="AI22" s="44">
        <f t="shared" si="24"/>
        <v>3030.72</v>
      </c>
      <c r="AJ22" s="44">
        <f t="shared" si="25"/>
        <v>3114.64</v>
      </c>
      <c r="AK22" s="44">
        <f t="shared" si="26"/>
        <v>3217.96</v>
      </c>
      <c r="AL22" s="44">
        <f t="shared" si="27"/>
        <v>3288.97</v>
      </c>
      <c r="AM22" s="44">
        <f t="shared" si="28"/>
        <v>3385.81</v>
      </c>
      <c r="AO22" s="45" t="s">
        <v>248</v>
      </c>
      <c r="AP22" s="44">
        <f t="shared" si="29"/>
        <v>2811.2</v>
      </c>
      <c r="AQ22" s="44">
        <f t="shared" si="30"/>
        <v>3030.72</v>
      </c>
      <c r="AR22" s="44">
        <f t="shared" si="31"/>
        <v>3114.64</v>
      </c>
      <c r="AS22" s="44">
        <f t="shared" si="32"/>
        <v>3217.96</v>
      </c>
      <c r="AT22" s="44">
        <f t="shared" si="33"/>
        <v>3288.97</v>
      </c>
      <c r="AU22" s="44">
        <f t="shared" si="34"/>
        <v>3385.81</v>
      </c>
    </row>
    <row r="23" spans="1:47" s="29" customFormat="1" ht="29.25" customHeight="1" thickBot="1" x14ac:dyDescent="0.3">
      <c r="A23" s="45">
        <v>2</v>
      </c>
      <c r="B23" s="44">
        <f t="shared" si="0"/>
        <v>2742.84</v>
      </c>
      <c r="C23" s="44">
        <f t="shared" si="1"/>
        <v>2953.24</v>
      </c>
      <c r="D23" s="44">
        <f t="shared" si="2"/>
        <v>3017.8</v>
      </c>
      <c r="E23" s="44">
        <f t="shared" si="3"/>
        <v>3082.36</v>
      </c>
      <c r="F23" s="44">
        <f t="shared" si="4"/>
        <v>3230.84</v>
      </c>
      <c r="G23" s="44">
        <f t="shared" si="5"/>
        <v>3385.81</v>
      </c>
      <c r="I23" s="45">
        <v>2</v>
      </c>
      <c r="J23" s="44">
        <f t="shared" si="35"/>
        <v>2742.84</v>
      </c>
      <c r="K23" s="44">
        <f t="shared" si="6"/>
        <v>2953.24</v>
      </c>
      <c r="L23" s="44">
        <f t="shared" si="7"/>
        <v>3017.8</v>
      </c>
      <c r="M23" s="44">
        <f t="shared" si="8"/>
        <v>3082.36</v>
      </c>
      <c r="N23" s="44">
        <f t="shared" si="9"/>
        <v>3230.84</v>
      </c>
      <c r="O23" s="44">
        <f t="shared" si="10"/>
        <v>3385.81</v>
      </c>
      <c r="P23" s="30"/>
      <c r="Q23" s="45">
        <v>2</v>
      </c>
      <c r="R23" s="44">
        <f t="shared" si="11"/>
        <v>2742.84</v>
      </c>
      <c r="S23" s="44">
        <f t="shared" si="12"/>
        <v>2953.24</v>
      </c>
      <c r="T23" s="44">
        <f t="shared" si="13"/>
        <v>3017.8</v>
      </c>
      <c r="U23" s="44">
        <f t="shared" si="14"/>
        <v>3082.36</v>
      </c>
      <c r="V23" s="44">
        <f t="shared" si="15"/>
        <v>3230.84</v>
      </c>
      <c r="W23" s="44">
        <f t="shared" si="16"/>
        <v>3385.81</v>
      </c>
      <c r="Y23" s="45">
        <v>2</v>
      </c>
      <c r="Z23" s="44">
        <f t="shared" si="17"/>
        <v>2742.84</v>
      </c>
      <c r="AA23" s="44">
        <f t="shared" si="18"/>
        <v>2953.24</v>
      </c>
      <c r="AB23" s="44">
        <f t="shared" si="19"/>
        <v>3017.8</v>
      </c>
      <c r="AC23" s="44">
        <f t="shared" si="20"/>
        <v>3082.36</v>
      </c>
      <c r="AD23" s="44">
        <f t="shared" si="21"/>
        <v>3230.84</v>
      </c>
      <c r="AE23" s="44">
        <f t="shared" si="22"/>
        <v>3385.81</v>
      </c>
      <c r="AG23" s="45">
        <v>2</v>
      </c>
      <c r="AH23" s="44">
        <f t="shared" si="23"/>
        <v>2742.84</v>
      </c>
      <c r="AI23" s="44">
        <f t="shared" si="24"/>
        <v>2953.24</v>
      </c>
      <c r="AJ23" s="44">
        <f t="shared" si="25"/>
        <v>3017.8</v>
      </c>
      <c r="AK23" s="44">
        <f t="shared" si="26"/>
        <v>3082.36</v>
      </c>
      <c r="AL23" s="44">
        <f t="shared" si="27"/>
        <v>3230.84</v>
      </c>
      <c r="AM23" s="44">
        <f t="shared" si="28"/>
        <v>3385.81</v>
      </c>
      <c r="AO23" s="45">
        <v>2</v>
      </c>
      <c r="AP23" s="44">
        <f t="shared" si="29"/>
        <v>2742.84</v>
      </c>
      <c r="AQ23" s="44">
        <f t="shared" si="30"/>
        <v>2953.24</v>
      </c>
      <c r="AR23" s="44">
        <f t="shared" si="31"/>
        <v>3017.8</v>
      </c>
      <c r="AS23" s="44">
        <f t="shared" si="32"/>
        <v>3082.36</v>
      </c>
      <c r="AT23" s="44">
        <f t="shared" si="33"/>
        <v>3230.84</v>
      </c>
      <c r="AU23" s="44">
        <f t="shared" si="34"/>
        <v>3385.81</v>
      </c>
    </row>
    <row r="24" spans="1:47" s="29" customFormat="1" ht="29.25" customHeight="1" thickBot="1" x14ac:dyDescent="0.3">
      <c r="A24" s="45">
        <v>1</v>
      </c>
      <c r="B24" s="44">
        <f t="shared" si="0"/>
        <v>0</v>
      </c>
      <c r="C24" s="44">
        <f t="shared" si="1"/>
        <v>2534.4899999999998</v>
      </c>
      <c r="D24" s="44">
        <f t="shared" si="2"/>
        <v>2565.06</v>
      </c>
      <c r="E24" s="44">
        <f t="shared" si="3"/>
        <v>2601.7800000000002</v>
      </c>
      <c r="F24" s="44">
        <f t="shared" si="4"/>
        <v>2638.51</v>
      </c>
      <c r="G24" s="44">
        <f t="shared" si="5"/>
        <v>2730.3</v>
      </c>
      <c r="I24" s="45">
        <v>1</v>
      </c>
      <c r="J24" s="44">
        <f t="shared" si="35"/>
        <v>0</v>
      </c>
      <c r="K24" s="44">
        <f t="shared" si="6"/>
        <v>2534.4899999999998</v>
      </c>
      <c r="L24" s="44">
        <f t="shared" si="7"/>
        <v>2565.06</v>
      </c>
      <c r="M24" s="44">
        <f t="shared" si="8"/>
        <v>2601.7800000000002</v>
      </c>
      <c r="N24" s="44">
        <f t="shared" si="9"/>
        <v>2638.51</v>
      </c>
      <c r="O24" s="44">
        <f t="shared" si="10"/>
        <v>2730.3</v>
      </c>
      <c r="P24" s="30"/>
      <c r="Q24" s="45">
        <v>1</v>
      </c>
      <c r="R24" s="44">
        <f t="shared" si="11"/>
        <v>0</v>
      </c>
      <c r="S24" s="44">
        <f t="shared" si="12"/>
        <v>2534.4899999999998</v>
      </c>
      <c r="T24" s="44">
        <f t="shared" si="13"/>
        <v>2565.06</v>
      </c>
      <c r="U24" s="44">
        <f t="shared" si="14"/>
        <v>2601.7800000000002</v>
      </c>
      <c r="V24" s="44">
        <f t="shared" si="15"/>
        <v>2638.51</v>
      </c>
      <c r="W24" s="44">
        <f t="shared" si="16"/>
        <v>2730.3</v>
      </c>
      <c r="Y24" s="45">
        <v>1</v>
      </c>
      <c r="Z24" s="44">
        <f t="shared" si="17"/>
        <v>0</v>
      </c>
      <c r="AA24" s="44">
        <f t="shared" si="18"/>
        <v>2534.4899999999998</v>
      </c>
      <c r="AB24" s="44">
        <f t="shared" si="19"/>
        <v>2565.06</v>
      </c>
      <c r="AC24" s="44">
        <f t="shared" si="20"/>
        <v>2601.7800000000002</v>
      </c>
      <c r="AD24" s="44">
        <f t="shared" si="21"/>
        <v>2638.51</v>
      </c>
      <c r="AE24" s="44">
        <f t="shared" si="22"/>
        <v>2730.3</v>
      </c>
      <c r="AG24" s="45">
        <v>1</v>
      </c>
      <c r="AH24" s="44">
        <f t="shared" si="23"/>
        <v>0</v>
      </c>
      <c r="AI24" s="44">
        <f t="shared" si="24"/>
        <v>2534.4899999999998</v>
      </c>
      <c r="AJ24" s="44">
        <f t="shared" si="25"/>
        <v>2565.06</v>
      </c>
      <c r="AK24" s="44">
        <f t="shared" si="26"/>
        <v>2601.7800000000002</v>
      </c>
      <c r="AL24" s="44">
        <f t="shared" si="27"/>
        <v>2638.51</v>
      </c>
      <c r="AM24" s="44">
        <f t="shared" si="28"/>
        <v>2730.3</v>
      </c>
      <c r="AO24" s="45">
        <v>1</v>
      </c>
      <c r="AP24" s="44">
        <f t="shared" si="29"/>
        <v>0</v>
      </c>
      <c r="AQ24" s="44">
        <f t="shared" si="30"/>
        <v>2534.4899999999998</v>
      </c>
      <c r="AR24" s="44">
        <f t="shared" si="31"/>
        <v>2565.06</v>
      </c>
      <c r="AS24" s="44">
        <f t="shared" si="32"/>
        <v>2601.7800000000002</v>
      </c>
      <c r="AT24" s="44">
        <f t="shared" si="33"/>
        <v>2638.51</v>
      </c>
      <c r="AU24" s="44">
        <f t="shared" si="34"/>
        <v>2730.3</v>
      </c>
    </row>
    <row r="25" spans="1:47" x14ac:dyDescent="0.4">
      <c r="M25" s="28"/>
      <c r="N25" s="28"/>
      <c r="O25" s="28"/>
      <c r="P25" s="24"/>
    </row>
    <row r="26" spans="1:47" ht="18.75" thickBot="1" x14ac:dyDescent="0.45">
      <c r="M26" s="28"/>
      <c r="N26" s="28"/>
      <c r="O26" s="28"/>
      <c r="P26" s="24"/>
    </row>
    <row r="27" spans="1:47" ht="18.75" outlineLevel="1" thickBot="1" x14ac:dyDescent="0.45">
      <c r="A27" s="37">
        <v>2026</v>
      </c>
      <c r="B27" s="426" t="s">
        <v>258</v>
      </c>
      <c r="E27" s="28"/>
      <c r="F27" s="28"/>
      <c r="G27" s="28"/>
      <c r="I27" s="37">
        <v>2027</v>
      </c>
      <c r="J27" s="426" t="s">
        <v>259</v>
      </c>
      <c r="M27" s="28"/>
      <c r="N27" s="28"/>
      <c r="O27" s="28"/>
      <c r="P27" s="24"/>
      <c r="Q27" s="37">
        <v>2028</v>
      </c>
      <c r="R27" s="426" t="s">
        <v>260</v>
      </c>
    </row>
    <row r="28" spans="1:47" ht="35.25" outlineLevel="1" thickBot="1" x14ac:dyDescent="0.45">
      <c r="A28" s="37" t="s">
        <v>27</v>
      </c>
      <c r="B28" s="37">
        <v>1</v>
      </c>
      <c r="C28" s="37">
        <v>2</v>
      </c>
      <c r="D28" s="37">
        <v>3</v>
      </c>
      <c r="E28" s="37">
        <v>4</v>
      </c>
      <c r="F28" s="37">
        <v>5</v>
      </c>
      <c r="G28" s="37">
        <v>6</v>
      </c>
      <c r="H28" s="46"/>
      <c r="I28" s="37" t="s">
        <v>27</v>
      </c>
      <c r="J28" s="37">
        <v>1</v>
      </c>
      <c r="K28" s="37">
        <v>2</v>
      </c>
      <c r="L28" s="37">
        <v>3</v>
      </c>
      <c r="M28" s="37">
        <v>4</v>
      </c>
      <c r="N28" s="37">
        <v>5</v>
      </c>
      <c r="O28" s="37">
        <v>6</v>
      </c>
      <c r="P28" s="46"/>
      <c r="Q28" s="37" t="s">
        <v>27</v>
      </c>
      <c r="R28" s="37">
        <v>1</v>
      </c>
      <c r="S28" s="37">
        <v>2</v>
      </c>
      <c r="T28" s="37">
        <v>3</v>
      </c>
      <c r="U28" s="37">
        <v>4</v>
      </c>
      <c r="V28" s="37">
        <v>5</v>
      </c>
      <c r="W28" s="37">
        <v>6</v>
      </c>
    </row>
    <row r="29" spans="1:47" ht="18.75" outlineLevel="1" thickBot="1" x14ac:dyDescent="0.45">
      <c r="A29" s="45" t="s">
        <v>246</v>
      </c>
      <c r="B29" s="44">
        <v>6857.14</v>
      </c>
      <c r="C29" s="44">
        <v>7587.33</v>
      </c>
      <c r="D29" s="44">
        <v>8280.33</v>
      </c>
      <c r="E29" s="44">
        <v>8734.83</v>
      </c>
      <c r="F29" s="44">
        <v>8846.64</v>
      </c>
      <c r="G29" s="44">
        <v>0</v>
      </c>
      <c r="H29" s="29"/>
      <c r="I29" s="45" t="s">
        <v>246</v>
      </c>
      <c r="J29" s="44">
        <v>6994.28</v>
      </c>
      <c r="K29" s="44">
        <v>7739.08</v>
      </c>
      <c r="L29" s="44">
        <v>8445.94</v>
      </c>
      <c r="M29" s="44">
        <v>8909.5300000000007</v>
      </c>
      <c r="N29" s="44">
        <v>9023.57</v>
      </c>
      <c r="O29" s="44">
        <v>0</v>
      </c>
      <c r="P29" s="29"/>
      <c r="Q29" s="45" t="s">
        <v>246</v>
      </c>
      <c r="R29" s="44">
        <v>7064.22</v>
      </c>
      <c r="S29" s="44">
        <v>7816.47</v>
      </c>
      <c r="T29" s="44">
        <v>8530.4</v>
      </c>
      <c r="U29" s="44">
        <v>8998.6299999999992</v>
      </c>
      <c r="V29" s="44">
        <v>9113.81</v>
      </c>
      <c r="W29" s="44">
        <v>0</v>
      </c>
    </row>
    <row r="30" spans="1:47" ht="18.75" outlineLevel="1" thickBot="1" x14ac:dyDescent="0.45">
      <c r="A30" s="45">
        <v>15</v>
      </c>
      <c r="B30" s="44">
        <v>5658.38</v>
      </c>
      <c r="C30" s="44">
        <v>6067.3</v>
      </c>
      <c r="D30" s="44">
        <v>6283.38</v>
      </c>
      <c r="E30" s="44">
        <v>7050.89</v>
      </c>
      <c r="F30" s="44">
        <v>7632.07</v>
      </c>
      <c r="G30" s="44">
        <v>7854.52</v>
      </c>
      <c r="H30" s="29"/>
      <c r="I30" s="45">
        <v>15</v>
      </c>
      <c r="J30" s="44">
        <v>5771.55</v>
      </c>
      <c r="K30" s="44">
        <v>6188.65</v>
      </c>
      <c r="L30" s="44">
        <v>6409.05</v>
      </c>
      <c r="M30" s="44">
        <v>7191.91</v>
      </c>
      <c r="N30" s="44">
        <v>7784.71</v>
      </c>
      <c r="O30" s="44">
        <v>8011.61</v>
      </c>
      <c r="P30" s="29"/>
      <c r="Q30" s="45">
        <v>15</v>
      </c>
      <c r="R30" s="44">
        <v>5829.27</v>
      </c>
      <c r="S30" s="44">
        <v>6250.54</v>
      </c>
      <c r="T30" s="44">
        <v>6473.14</v>
      </c>
      <c r="U30" s="44">
        <v>7263.83</v>
      </c>
      <c r="V30" s="44">
        <v>7862.56</v>
      </c>
      <c r="W30" s="44">
        <v>8091.73</v>
      </c>
    </row>
    <row r="31" spans="1:47" ht="18.75" outlineLevel="1" thickBot="1" x14ac:dyDescent="0.45">
      <c r="A31" s="45">
        <v>14</v>
      </c>
      <c r="B31" s="44">
        <v>5143.59</v>
      </c>
      <c r="C31" s="44">
        <v>5515.9</v>
      </c>
      <c r="D31" s="44">
        <v>5821.41</v>
      </c>
      <c r="E31" s="44">
        <v>6283.38</v>
      </c>
      <c r="F31" s="44">
        <v>6991.23</v>
      </c>
      <c r="G31" s="44">
        <v>7194.48</v>
      </c>
      <c r="H31" s="29"/>
      <c r="I31" s="45">
        <v>14</v>
      </c>
      <c r="J31" s="44">
        <v>5246.46</v>
      </c>
      <c r="K31" s="44">
        <v>5626.22</v>
      </c>
      <c r="L31" s="44">
        <v>5937.84</v>
      </c>
      <c r="M31" s="44">
        <v>6409.05</v>
      </c>
      <c r="N31" s="44">
        <v>7131.05</v>
      </c>
      <c r="O31" s="44">
        <v>7338.37</v>
      </c>
      <c r="P31" s="29"/>
      <c r="Q31" s="45">
        <v>14</v>
      </c>
      <c r="R31" s="44">
        <v>5298.92</v>
      </c>
      <c r="S31" s="44">
        <v>5682.48</v>
      </c>
      <c r="T31" s="44">
        <v>5997.22</v>
      </c>
      <c r="U31" s="44">
        <v>6473.14</v>
      </c>
      <c r="V31" s="44">
        <v>7202.36</v>
      </c>
      <c r="W31" s="44">
        <v>7411.75</v>
      </c>
    </row>
    <row r="32" spans="1:47" ht="18.75" outlineLevel="1" thickBot="1" x14ac:dyDescent="0.45">
      <c r="A32" s="45" t="s">
        <v>247</v>
      </c>
      <c r="B32" s="44">
        <v>0</v>
      </c>
      <c r="C32" s="44">
        <v>5106.09</v>
      </c>
      <c r="D32" s="44">
        <v>5366.89</v>
      </c>
      <c r="E32" s="44">
        <v>6283.38</v>
      </c>
      <c r="F32" s="44">
        <v>6991.23</v>
      </c>
      <c r="G32" s="44">
        <v>7194.48</v>
      </c>
      <c r="H32" s="29"/>
      <c r="I32" s="45" t="s">
        <v>247</v>
      </c>
      <c r="J32" s="44">
        <v>0</v>
      </c>
      <c r="K32" s="44">
        <v>5208.21</v>
      </c>
      <c r="L32" s="44">
        <v>5474.23</v>
      </c>
      <c r="M32" s="44">
        <v>6409.05</v>
      </c>
      <c r="N32" s="44">
        <v>7131.05</v>
      </c>
      <c r="O32" s="44">
        <v>7338.37</v>
      </c>
      <c r="P32" s="29"/>
      <c r="Q32" s="45" t="s">
        <v>247</v>
      </c>
      <c r="R32" s="44">
        <v>0</v>
      </c>
      <c r="S32" s="44">
        <v>5260.29</v>
      </c>
      <c r="T32" s="44">
        <v>5528.97</v>
      </c>
      <c r="U32" s="44">
        <v>6473.14</v>
      </c>
      <c r="V32" s="44">
        <v>7202.36</v>
      </c>
      <c r="W32" s="44">
        <v>7411.75</v>
      </c>
    </row>
    <row r="33" spans="1:23" ht="18.75" outlineLevel="1" thickBot="1" x14ac:dyDescent="0.45">
      <c r="A33" s="45">
        <v>13</v>
      </c>
      <c r="B33" s="44">
        <v>4759.37</v>
      </c>
      <c r="C33" s="44">
        <v>5106.09</v>
      </c>
      <c r="D33" s="44">
        <v>5366.89</v>
      </c>
      <c r="E33" s="44">
        <v>5873.56</v>
      </c>
      <c r="F33" s="44">
        <v>6573.97</v>
      </c>
      <c r="G33" s="44">
        <v>6764.69</v>
      </c>
      <c r="H33" s="29"/>
      <c r="I33" s="45">
        <v>13</v>
      </c>
      <c r="J33" s="44">
        <v>4854.5600000000004</v>
      </c>
      <c r="K33" s="44">
        <v>5208.21</v>
      </c>
      <c r="L33" s="44">
        <v>5474.23</v>
      </c>
      <c r="M33" s="44">
        <v>5991.03</v>
      </c>
      <c r="N33" s="44">
        <v>6705.45</v>
      </c>
      <c r="O33" s="44">
        <v>6899.98</v>
      </c>
      <c r="P33" s="30"/>
      <c r="Q33" s="45">
        <v>13</v>
      </c>
      <c r="R33" s="44">
        <v>4903.1099999999997</v>
      </c>
      <c r="S33" s="44">
        <v>5260.29</v>
      </c>
      <c r="T33" s="44">
        <v>5528.97</v>
      </c>
      <c r="U33" s="44">
        <v>6050.94</v>
      </c>
      <c r="V33" s="44">
        <v>6772.5</v>
      </c>
      <c r="W33" s="44">
        <v>6968.98</v>
      </c>
    </row>
    <row r="34" spans="1:23" ht="18.75" outlineLevel="1" thickBot="1" x14ac:dyDescent="0.45">
      <c r="A34" s="45">
        <v>12</v>
      </c>
      <c r="B34" s="44">
        <v>4310.8999999999996</v>
      </c>
      <c r="C34" s="44">
        <v>4599.41</v>
      </c>
      <c r="D34" s="44">
        <v>5210.41</v>
      </c>
      <c r="E34" s="44">
        <v>5746.9</v>
      </c>
      <c r="F34" s="44">
        <v>6439.85</v>
      </c>
      <c r="G34" s="44">
        <v>6626.54</v>
      </c>
      <c r="H34" s="29"/>
      <c r="I34" s="45">
        <v>12</v>
      </c>
      <c r="J34" s="44">
        <v>4397.12</v>
      </c>
      <c r="K34" s="44">
        <v>4691.3999999999996</v>
      </c>
      <c r="L34" s="44">
        <v>5314.62</v>
      </c>
      <c r="M34" s="44">
        <v>5861.84</v>
      </c>
      <c r="N34" s="44">
        <v>6568.65</v>
      </c>
      <c r="O34" s="44">
        <v>6759.07</v>
      </c>
      <c r="P34" s="30"/>
      <c r="Q34" s="45">
        <v>12</v>
      </c>
      <c r="R34" s="44">
        <v>4441.09</v>
      </c>
      <c r="S34" s="44">
        <v>4738.3100000000004</v>
      </c>
      <c r="T34" s="44">
        <v>5367.77</v>
      </c>
      <c r="U34" s="44">
        <v>5920.46</v>
      </c>
      <c r="V34" s="44">
        <v>6634.34</v>
      </c>
      <c r="W34" s="44">
        <v>6826.66</v>
      </c>
    </row>
    <row r="35" spans="1:23" ht="18.75" outlineLevel="1" thickBot="1" x14ac:dyDescent="0.45">
      <c r="A35" s="45">
        <v>11</v>
      </c>
      <c r="B35" s="44">
        <v>4178.3500000000004</v>
      </c>
      <c r="C35" s="44">
        <v>4444.8599999999997</v>
      </c>
      <c r="D35" s="44">
        <v>4748.43</v>
      </c>
      <c r="E35" s="44">
        <v>5210.41</v>
      </c>
      <c r="F35" s="44">
        <v>5881.02</v>
      </c>
      <c r="G35" s="44">
        <v>6050.95</v>
      </c>
      <c r="H35" s="29"/>
      <c r="I35" s="45">
        <v>11</v>
      </c>
      <c r="J35" s="44">
        <v>4261.92</v>
      </c>
      <c r="K35" s="44">
        <v>4533.76</v>
      </c>
      <c r="L35" s="44">
        <v>4843.3999999999996</v>
      </c>
      <c r="M35" s="44">
        <v>5314.62</v>
      </c>
      <c r="N35" s="44">
        <v>5998.64</v>
      </c>
      <c r="O35" s="44">
        <v>6171.97</v>
      </c>
      <c r="P35" s="30"/>
      <c r="Q35" s="45">
        <v>11</v>
      </c>
      <c r="R35" s="44">
        <v>4304.54</v>
      </c>
      <c r="S35" s="44">
        <v>4579.1000000000004</v>
      </c>
      <c r="T35" s="44">
        <v>4891.83</v>
      </c>
      <c r="U35" s="44">
        <v>5367.77</v>
      </c>
      <c r="V35" s="44">
        <v>6058.63</v>
      </c>
      <c r="W35" s="44">
        <v>6233.69</v>
      </c>
    </row>
    <row r="36" spans="1:23" ht="18.75" outlineLevel="1" thickBot="1" x14ac:dyDescent="0.45">
      <c r="A36" s="45">
        <v>10</v>
      </c>
      <c r="B36" s="44">
        <v>4038.42</v>
      </c>
      <c r="C36" s="44">
        <v>4299.95</v>
      </c>
      <c r="D36" s="44">
        <v>4599.41</v>
      </c>
      <c r="E36" s="44">
        <v>4904.8900000000003</v>
      </c>
      <c r="F36" s="44">
        <v>5486.13</v>
      </c>
      <c r="G36" s="44">
        <v>5644.2</v>
      </c>
      <c r="H36" s="29"/>
      <c r="I36" s="45">
        <v>10</v>
      </c>
      <c r="J36" s="44">
        <v>4119.1899999999996</v>
      </c>
      <c r="K36" s="44">
        <v>4385.95</v>
      </c>
      <c r="L36" s="44">
        <v>4691.3999999999996</v>
      </c>
      <c r="M36" s="44">
        <v>5002.99</v>
      </c>
      <c r="N36" s="44">
        <v>5595.85</v>
      </c>
      <c r="O36" s="44">
        <v>5757.08</v>
      </c>
      <c r="P36" s="30"/>
      <c r="Q36" s="45">
        <v>10</v>
      </c>
      <c r="R36" s="44">
        <v>4160.38</v>
      </c>
      <c r="S36" s="44">
        <v>4429.8100000000004</v>
      </c>
      <c r="T36" s="44">
        <v>4738.3100000000004</v>
      </c>
      <c r="U36" s="44">
        <v>5053.0200000000004</v>
      </c>
      <c r="V36" s="44">
        <v>5651.81</v>
      </c>
      <c r="W36" s="44">
        <v>5814.65</v>
      </c>
    </row>
    <row r="37" spans="1:23" ht="18.75" outlineLevel="1" thickBot="1" x14ac:dyDescent="0.45">
      <c r="A37" s="45" t="s">
        <v>244</v>
      </c>
      <c r="B37" s="44">
        <v>3620.1</v>
      </c>
      <c r="C37" s="44">
        <v>3870.81</v>
      </c>
      <c r="D37" s="44">
        <v>4035.07</v>
      </c>
      <c r="E37" s="44">
        <v>4488.99</v>
      </c>
      <c r="F37" s="44">
        <v>4875.1000000000004</v>
      </c>
      <c r="G37" s="44">
        <v>5014.87</v>
      </c>
      <c r="H37" s="29"/>
      <c r="I37" s="45" t="s">
        <v>244</v>
      </c>
      <c r="J37" s="44">
        <v>3692.5</v>
      </c>
      <c r="K37" s="44">
        <v>3948.23</v>
      </c>
      <c r="L37" s="44">
        <v>4115.7700000000004</v>
      </c>
      <c r="M37" s="44">
        <v>4578.7700000000004</v>
      </c>
      <c r="N37" s="44">
        <v>4972.6000000000004</v>
      </c>
      <c r="O37" s="44">
        <v>5115.17</v>
      </c>
      <c r="P37" s="30"/>
      <c r="Q37" s="45" t="s">
        <v>244</v>
      </c>
      <c r="R37" s="44">
        <v>3729.43</v>
      </c>
      <c r="S37" s="44">
        <v>3987.71</v>
      </c>
      <c r="T37" s="44">
        <v>4156.93</v>
      </c>
      <c r="U37" s="44">
        <v>4624.5600000000004</v>
      </c>
      <c r="V37" s="44">
        <v>5022.33</v>
      </c>
      <c r="W37" s="44">
        <v>5166.32</v>
      </c>
    </row>
    <row r="38" spans="1:23" ht="18.75" outlineLevel="1" thickBot="1" x14ac:dyDescent="0.45">
      <c r="A38" s="45" t="s">
        <v>245</v>
      </c>
      <c r="B38" s="44">
        <v>3620.1</v>
      </c>
      <c r="C38" s="44">
        <v>3870.81</v>
      </c>
      <c r="D38" s="44">
        <v>3925.58</v>
      </c>
      <c r="E38" s="44">
        <v>4035.07</v>
      </c>
      <c r="F38" s="44">
        <v>4488.99</v>
      </c>
      <c r="G38" s="44">
        <v>4615.76</v>
      </c>
      <c r="H38" s="29"/>
      <c r="I38" s="45" t="s">
        <v>245</v>
      </c>
      <c r="J38" s="44">
        <v>3692.5</v>
      </c>
      <c r="K38" s="44">
        <v>3948.23</v>
      </c>
      <c r="L38" s="44">
        <v>4004.09</v>
      </c>
      <c r="M38" s="44">
        <v>4115.7700000000004</v>
      </c>
      <c r="N38" s="44">
        <v>4578.7700000000004</v>
      </c>
      <c r="O38" s="44">
        <v>4708.08</v>
      </c>
      <c r="P38" s="30"/>
      <c r="Q38" s="45" t="s">
        <v>245</v>
      </c>
      <c r="R38" s="44">
        <v>3729.43</v>
      </c>
      <c r="S38" s="44">
        <v>3987.71</v>
      </c>
      <c r="T38" s="44">
        <v>4044.13</v>
      </c>
      <c r="U38" s="44">
        <v>4156.93</v>
      </c>
      <c r="V38" s="44">
        <v>4624.5600000000004</v>
      </c>
      <c r="W38" s="44">
        <v>4755.16</v>
      </c>
    </row>
    <row r="39" spans="1:23" ht="18.75" outlineLevel="1" thickBot="1" x14ac:dyDescent="0.45">
      <c r="A39" s="45">
        <v>8</v>
      </c>
      <c r="B39" s="44">
        <v>3419.52</v>
      </c>
      <c r="C39" s="44">
        <v>3659.02</v>
      </c>
      <c r="D39" s="44">
        <v>3795.52</v>
      </c>
      <c r="E39" s="44">
        <v>3925.58</v>
      </c>
      <c r="F39" s="44">
        <v>4069.31</v>
      </c>
      <c r="G39" s="44">
        <v>4158.2700000000004</v>
      </c>
      <c r="H39" s="29"/>
      <c r="I39" s="45">
        <v>8</v>
      </c>
      <c r="J39" s="44">
        <v>3487.91</v>
      </c>
      <c r="K39" s="44">
        <v>3732.2</v>
      </c>
      <c r="L39" s="44">
        <v>3871.43</v>
      </c>
      <c r="M39" s="44">
        <v>4004.09</v>
      </c>
      <c r="N39" s="44">
        <v>4150.7</v>
      </c>
      <c r="O39" s="44">
        <v>4241.4399999999996</v>
      </c>
      <c r="P39" s="30"/>
      <c r="Q39" s="45">
        <v>8</v>
      </c>
      <c r="R39" s="44">
        <v>3522.79</v>
      </c>
      <c r="S39" s="44">
        <v>3769.52</v>
      </c>
      <c r="T39" s="44">
        <v>3910.14</v>
      </c>
      <c r="U39" s="44">
        <v>4044.13</v>
      </c>
      <c r="V39" s="44">
        <v>4192.21</v>
      </c>
      <c r="W39" s="44">
        <v>4283.8500000000004</v>
      </c>
    </row>
    <row r="40" spans="1:23" ht="18.75" outlineLevel="1" thickBot="1" x14ac:dyDescent="0.45">
      <c r="A40" s="45">
        <v>7</v>
      </c>
      <c r="B40" s="44">
        <v>3235.83</v>
      </c>
      <c r="C40" s="44">
        <v>3469.72</v>
      </c>
      <c r="D40" s="44">
        <v>3645.69</v>
      </c>
      <c r="E40" s="44">
        <v>3781.85</v>
      </c>
      <c r="F40" s="44">
        <v>3891.36</v>
      </c>
      <c r="G40" s="44">
        <v>3987.16</v>
      </c>
      <c r="H40" s="29"/>
      <c r="I40" s="45">
        <v>7</v>
      </c>
      <c r="J40" s="44">
        <v>3300.55</v>
      </c>
      <c r="K40" s="44">
        <v>3539.11</v>
      </c>
      <c r="L40" s="44">
        <v>3718.6</v>
      </c>
      <c r="M40" s="44">
        <v>3857.49</v>
      </c>
      <c r="N40" s="44">
        <v>3969.19</v>
      </c>
      <c r="O40" s="44">
        <v>4066.9</v>
      </c>
      <c r="P40" s="30"/>
      <c r="Q40" s="45">
        <v>7</v>
      </c>
      <c r="R40" s="44">
        <v>3333.56</v>
      </c>
      <c r="S40" s="44">
        <v>3574.5</v>
      </c>
      <c r="T40" s="44">
        <v>3755.79</v>
      </c>
      <c r="U40" s="44">
        <v>3896.06</v>
      </c>
      <c r="V40" s="44">
        <v>4008.88</v>
      </c>
      <c r="W40" s="44">
        <v>4107.57</v>
      </c>
    </row>
    <row r="41" spans="1:23" ht="18.75" outlineLevel="1" thickBot="1" x14ac:dyDescent="0.45">
      <c r="A41" s="45">
        <v>6</v>
      </c>
      <c r="B41" s="44">
        <v>3186.57</v>
      </c>
      <c r="C41" s="44">
        <v>3418.08</v>
      </c>
      <c r="D41" s="44">
        <v>3547.2</v>
      </c>
      <c r="E41" s="44">
        <v>3679.2</v>
      </c>
      <c r="F41" s="44">
        <v>3768.15</v>
      </c>
      <c r="G41" s="44">
        <v>3863.96</v>
      </c>
      <c r="H41" s="29"/>
      <c r="I41" s="45">
        <v>6</v>
      </c>
      <c r="J41" s="44">
        <v>3250.3</v>
      </c>
      <c r="K41" s="44">
        <v>3486.44</v>
      </c>
      <c r="L41" s="44">
        <v>3618.14</v>
      </c>
      <c r="M41" s="44">
        <v>3752.78</v>
      </c>
      <c r="N41" s="44">
        <v>3843.51</v>
      </c>
      <c r="O41" s="44">
        <v>3941.24</v>
      </c>
      <c r="P41" s="30"/>
      <c r="Q41" s="45">
        <v>6</v>
      </c>
      <c r="R41" s="44">
        <v>3282.8</v>
      </c>
      <c r="S41" s="44">
        <v>3521.3</v>
      </c>
      <c r="T41" s="44">
        <v>3654.32</v>
      </c>
      <c r="U41" s="44">
        <v>3790.31</v>
      </c>
      <c r="V41" s="44">
        <v>3881.95</v>
      </c>
      <c r="W41" s="44">
        <v>3980.65</v>
      </c>
    </row>
    <row r="42" spans="1:23" ht="18.75" outlineLevel="1" thickBot="1" x14ac:dyDescent="0.45">
      <c r="A42" s="45">
        <v>5</v>
      </c>
      <c r="B42" s="44">
        <v>3073.97</v>
      </c>
      <c r="C42" s="44">
        <v>3301.87</v>
      </c>
      <c r="D42" s="44">
        <v>3430.99</v>
      </c>
      <c r="E42" s="44">
        <v>3553.66</v>
      </c>
      <c r="F42" s="44">
        <v>3652.34</v>
      </c>
      <c r="G42" s="44">
        <v>3720.25</v>
      </c>
      <c r="H42" s="29"/>
      <c r="I42" s="45">
        <v>5</v>
      </c>
      <c r="J42" s="44">
        <v>3135.45</v>
      </c>
      <c r="K42" s="44">
        <v>3367.91</v>
      </c>
      <c r="L42" s="44">
        <v>3499.61</v>
      </c>
      <c r="M42" s="44">
        <v>3624.73</v>
      </c>
      <c r="N42" s="44">
        <v>3725.39</v>
      </c>
      <c r="O42" s="44">
        <v>3794.66</v>
      </c>
      <c r="P42" s="30"/>
      <c r="Q42" s="45">
        <v>5</v>
      </c>
      <c r="R42" s="44">
        <v>3166.8</v>
      </c>
      <c r="S42" s="44">
        <v>3401.59</v>
      </c>
      <c r="T42" s="44">
        <v>3534.61</v>
      </c>
      <c r="U42" s="44">
        <v>3660.98</v>
      </c>
      <c r="V42" s="44">
        <v>3762.64</v>
      </c>
      <c r="W42" s="44">
        <v>3832.61</v>
      </c>
    </row>
    <row r="43" spans="1:23" ht="18.75" outlineLevel="1" thickBot="1" x14ac:dyDescent="0.45">
      <c r="A43" s="45">
        <v>4</v>
      </c>
      <c r="B43" s="44">
        <v>2949.24</v>
      </c>
      <c r="C43" s="44">
        <v>3179.22</v>
      </c>
      <c r="D43" s="44">
        <v>3340.61</v>
      </c>
      <c r="E43" s="44">
        <v>3430.99</v>
      </c>
      <c r="F43" s="44">
        <v>3521.39</v>
      </c>
      <c r="G43" s="44">
        <v>3579.47</v>
      </c>
      <c r="H43" s="29"/>
      <c r="I43" s="45">
        <v>4</v>
      </c>
      <c r="J43" s="44">
        <v>3008.22</v>
      </c>
      <c r="K43" s="44">
        <v>3242.8</v>
      </c>
      <c r="L43" s="44">
        <v>3407.42</v>
      </c>
      <c r="M43" s="44">
        <v>3499.61</v>
      </c>
      <c r="N43" s="44">
        <v>3591.82</v>
      </c>
      <c r="O43" s="44">
        <v>3651.06</v>
      </c>
      <c r="P43" s="30"/>
      <c r="Q43" s="45">
        <v>4</v>
      </c>
      <c r="R43" s="44">
        <v>3038.3</v>
      </c>
      <c r="S43" s="44">
        <v>3275.23</v>
      </c>
      <c r="T43" s="44">
        <v>3441.49</v>
      </c>
      <c r="U43" s="44">
        <v>3534.61</v>
      </c>
      <c r="V43" s="44">
        <v>3627.74</v>
      </c>
      <c r="W43" s="44">
        <v>3687.57</v>
      </c>
    </row>
    <row r="44" spans="1:23" ht="18.75" outlineLevel="1" thickBot="1" x14ac:dyDescent="0.45">
      <c r="A44" s="45">
        <v>3</v>
      </c>
      <c r="B44" s="44">
        <v>2915.57</v>
      </c>
      <c r="C44" s="44">
        <v>3140.47</v>
      </c>
      <c r="D44" s="44">
        <v>3205.03</v>
      </c>
      <c r="E44" s="44">
        <v>3308.32</v>
      </c>
      <c r="F44" s="44">
        <v>3392.25</v>
      </c>
      <c r="G44" s="44">
        <v>3463.27</v>
      </c>
      <c r="H44" s="29"/>
      <c r="I44" s="45">
        <v>3</v>
      </c>
      <c r="J44" s="44">
        <v>2973.88</v>
      </c>
      <c r="K44" s="44">
        <v>3203.28</v>
      </c>
      <c r="L44" s="44">
        <v>3269.13</v>
      </c>
      <c r="M44" s="44">
        <v>3374.49</v>
      </c>
      <c r="N44" s="44">
        <v>3460.1</v>
      </c>
      <c r="O44" s="44">
        <v>3532.54</v>
      </c>
      <c r="P44" s="30"/>
      <c r="Q44" s="45">
        <v>3</v>
      </c>
      <c r="R44" s="44">
        <v>3003.62</v>
      </c>
      <c r="S44" s="44">
        <v>3235.31</v>
      </c>
      <c r="T44" s="44">
        <v>3301.82</v>
      </c>
      <c r="U44" s="44">
        <v>3408.23</v>
      </c>
      <c r="V44" s="44">
        <v>3494.7</v>
      </c>
      <c r="W44" s="44">
        <v>3567.87</v>
      </c>
    </row>
    <row r="45" spans="1:23" ht="18.75" outlineLevel="1" thickBot="1" x14ac:dyDescent="0.45">
      <c r="A45" s="45" t="s">
        <v>248</v>
      </c>
      <c r="B45" s="44">
        <v>2811.2</v>
      </c>
      <c r="C45" s="44">
        <v>3030.72</v>
      </c>
      <c r="D45" s="44">
        <v>3114.64</v>
      </c>
      <c r="E45" s="44">
        <v>3217.96</v>
      </c>
      <c r="F45" s="44">
        <v>3288.97</v>
      </c>
      <c r="G45" s="44">
        <v>3385.81</v>
      </c>
      <c r="H45" s="29"/>
      <c r="I45" s="45" t="s">
        <v>248</v>
      </c>
      <c r="J45" s="44">
        <v>2867.42</v>
      </c>
      <c r="K45" s="44">
        <v>3091.33</v>
      </c>
      <c r="L45" s="44">
        <v>3176.93</v>
      </c>
      <c r="M45" s="44">
        <v>3282.32</v>
      </c>
      <c r="N45" s="44">
        <v>3354.75</v>
      </c>
      <c r="O45" s="44">
        <v>3453.53</v>
      </c>
      <c r="P45" s="30"/>
      <c r="Q45" s="45" t="s">
        <v>248</v>
      </c>
      <c r="R45" s="44">
        <v>2896.09</v>
      </c>
      <c r="S45" s="44">
        <v>3122.24</v>
      </c>
      <c r="T45" s="44">
        <v>3208.7</v>
      </c>
      <c r="U45" s="44">
        <v>3315.14</v>
      </c>
      <c r="V45" s="44">
        <v>3388.3</v>
      </c>
      <c r="W45" s="44">
        <v>3488.07</v>
      </c>
    </row>
    <row r="46" spans="1:23" ht="18.75" outlineLevel="1" thickBot="1" x14ac:dyDescent="0.45">
      <c r="A46" s="45">
        <v>2</v>
      </c>
      <c r="B46" s="44">
        <v>2742.84</v>
      </c>
      <c r="C46" s="44">
        <v>2953.24</v>
      </c>
      <c r="D46" s="44">
        <v>3017.8</v>
      </c>
      <c r="E46" s="44">
        <v>3082.36</v>
      </c>
      <c r="F46" s="44">
        <v>3230.84</v>
      </c>
      <c r="G46" s="44">
        <v>3385.81</v>
      </c>
      <c r="H46" s="29"/>
      <c r="I46" s="45">
        <v>2</v>
      </c>
      <c r="J46" s="44">
        <v>2797.7</v>
      </c>
      <c r="K46" s="44">
        <v>3012.3</v>
      </c>
      <c r="L46" s="44">
        <v>3078.16</v>
      </c>
      <c r="M46" s="44">
        <v>3144.01</v>
      </c>
      <c r="N46" s="44">
        <v>3295.46</v>
      </c>
      <c r="O46" s="44">
        <v>3453.53</v>
      </c>
      <c r="P46" s="30"/>
      <c r="Q46" s="45">
        <v>2</v>
      </c>
      <c r="R46" s="44">
        <v>2825.68</v>
      </c>
      <c r="S46" s="44">
        <v>3042.42</v>
      </c>
      <c r="T46" s="44">
        <v>3108.94</v>
      </c>
      <c r="U46" s="44">
        <v>3175.45</v>
      </c>
      <c r="V46" s="44">
        <v>3328.41</v>
      </c>
      <c r="W46" s="44">
        <v>3488.07</v>
      </c>
    </row>
    <row r="47" spans="1:23" ht="18.75" outlineLevel="1" thickBot="1" x14ac:dyDescent="0.45">
      <c r="A47" s="45">
        <v>1</v>
      </c>
      <c r="B47" s="44">
        <v>0</v>
      </c>
      <c r="C47" s="44">
        <v>2534.4899999999998</v>
      </c>
      <c r="D47" s="44">
        <v>2565.06</v>
      </c>
      <c r="E47" s="44">
        <v>2601.7800000000002</v>
      </c>
      <c r="F47" s="44">
        <v>2638.51</v>
      </c>
      <c r="G47" s="44">
        <v>2730.3</v>
      </c>
      <c r="H47" s="29"/>
      <c r="I47" s="45">
        <v>1</v>
      </c>
      <c r="J47" s="44">
        <v>0</v>
      </c>
      <c r="K47" s="44">
        <v>2585.1799999999998</v>
      </c>
      <c r="L47" s="44">
        <v>2616.36</v>
      </c>
      <c r="M47" s="44">
        <v>2653.82</v>
      </c>
      <c r="N47" s="44">
        <v>2691.28</v>
      </c>
      <c r="O47" s="44">
        <v>2784.91</v>
      </c>
      <c r="P47" s="30"/>
      <c r="Q47" s="45">
        <v>1</v>
      </c>
      <c r="R47" s="44">
        <v>0</v>
      </c>
      <c r="S47" s="44">
        <v>2611.0300000000002</v>
      </c>
      <c r="T47" s="44">
        <v>2642.52</v>
      </c>
      <c r="U47" s="44">
        <v>2680.36</v>
      </c>
      <c r="V47" s="44">
        <v>2718.19</v>
      </c>
      <c r="W47" s="44">
        <v>2812.76</v>
      </c>
    </row>
    <row r="48" spans="1:23" outlineLevel="1" x14ac:dyDescent="0.4"/>
    <row r="49" spans="6:47" x14ac:dyDescent="0.4">
      <c r="F49" s="400"/>
      <c r="N49" s="400"/>
    </row>
    <row r="50" spans="6:47" x14ac:dyDescent="0.4">
      <c r="F50"/>
      <c r="P50" s="27"/>
      <c r="W50" s="23"/>
      <c r="X50" s="27"/>
      <c r="AE50" s="23"/>
      <c r="AF50" s="27"/>
      <c r="AM50" s="23"/>
      <c r="AO50" s="23"/>
      <c r="AP50" s="23"/>
      <c r="AQ50" s="23"/>
      <c r="AR50" s="23"/>
      <c r="AS50" s="23"/>
      <c r="AT50" s="23"/>
      <c r="AU50" s="23"/>
    </row>
    <row r="51" spans="6:47" x14ac:dyDescent="0.4">
      <c r="P51" s="27"/>
      <c r="W51" s="23"/>
      <c r="X51" s="27"/>
      <c r="AE51" s="23"/>
      <c r="AF51" s="27"/>
      <c r="AM51" s="23"/>
      <c r="AO51" s="23"/>
      <c r="AP51" s="23"/>
      <c r="AQ51" s="23"/>
      <c r="AR51" s="23"/>
      <c r="AS51" s="23"/>
      <c r="AT51" s="23"/>
      <c r="AU51" s="23"/>
    </row>
    <row r="52" spans="6:47" x14ac:dyDescent="0.4">
      <c r="P52" s="27"/>
      <c r="W52" s="23"/>
      <c r="X52" s="27"/>
      <c r="AE52" s="23"/>
      <c r="AF52" s="27"/>
      <c r="AM52" s="23"/>
      <c r="AO52" s="23"/>
      <c r="AP52" s="23"/>
      <c r="AQ52" s="23"/>
      <c r="AR52" s="23"/>
      <c r="AS52" s="23"/>
      <c r="AT52" s="23"/>
      <c r="AU52" s="23"/>
    </row>
    <row r="53" spans="6:47" x14ac:dyDescent="0.4">
      <c r="P53" s="27"/>
      <c r="W53" s="23"/>
      <c r="X53" s="27"/>
      <c r="AE53" s="23"/>
      <c r="AF53" s="27"/>
      <c r="AM53" s="23"/>
      <c r="AO53" s="23"/>
      <c r="AP53" s="23"/>
      <c r="AQ53" s="23"/>
      <c r="AR53" s="23"/>
      <c r="AS53" s="23"/>
      <c r="AT53" s="23"/>
      <c r="AU53" s="23"/>
    </row>
    <row r="54" spans="6:47" x14ac:dyDescent="0.4">
      <c r="P54" s="27"/>
      <c r="W54" s="23"/>
      <c r="X54" s="27"/>
      <c r="AE54" s="23"/>
      <c r="AF54" s="27"/>
      <c r="AM54" s="23"/>
      <c r="AO54" s="23"/>
      <c r="AP54" s="23"/>
      <c r="AQ54" s="23"/>
      <c r="AR54" s="23"/>
      <c r="AS54" s="23"/>
      <c r="AT54" s="23"/>
      <c r="AU54" s="23"/>
    </row>
    <row r="55" spans="6:47" x14ac:dyDescent="0.4">
      <c r="P55" s="27"/>
      <c r="W55" s="23"/>
      <c r="X55" s="27"/>
      <c r="AE55" s="23"/>
      <c r="AF55" s="27"/>
      <c r="AM55" s="23"/>
      <c r="AO55" s="23"/>
      <c r="AP55" s="23"/>
      <c r="AQ55" s="23"/>
      <c r="AR55" s="23"/>
      <c r="AS55" s="23"/>
      <c r="AT55" s="23"/>
      <c r="AU55" s="23"/>
    </row>
    <row r="56" spans="6:47" x14ac:dyDescent="0.4">
      <c r="P56" s="27"/>
      <c r="W56" s="23"/>
      <c r="X56" s="27"/>
      <c r="AE56" s="23"/>
      <c r="AF56" s="27"/>
      <c r="AM56" s="23"/>
      <c r="AO56" s="23"/>
      <c r="AP56" s="23"/>
      <c r="AQ56" s="23"/>
      <c r="AR56" s="23"/>
      <c r="AS56" s="23"/>
      <c r="AT56" s="23"/>
      <c r="AU56" s="23"/>
    </row>
    <row r="57" spans="6:47" x14ac:dyDescent="0.4">
      <c r="P57" s="27"/>
      <c r="W57" s="23"/>
      <c r="X57" s="27"/>
      <c r="AE57" s="23"/>
      <c r="AF57" s="27"/>
      <c r="AM57" s="23"/>
      <c r="AO57" s="23"/>
      <c r="AP57" s="23"/>
      <c r="AQ57" s="23"/>
      <c r="AR57" s="23"/>
      <c r="AS57" s="23"/>
      <c r="AT57" s="23"/>
      <c r="AU57" s="23"/>
    </row>
    <row r="58" spans="6:47" x14ac:dyDescent="0.4">
      <c r="P58" s="27"/>
      <c r="W58" s="23"/>
      <c r="X58" s="27"/>
      <c r="AE58" s="23"/>
      <c r="AF58" s="27"/>
      <c r="AM58" s="23"/>
      <c r="AO58" s="23"/>
      <c r="AP58" s="23"/>
      <c r="AQ58" s="23"/>
      <c r="AR58" s="23"/>
      <c r="AS58" s="23"/>
      <c r="AT58" s="23"/>
      <c r="AU58" s="23"/>
    </row>
    <row r="59" spans="6:47" x14ac:dyDescent="0.4">
      <c r="P59" s="27"/>
      <c r="W59" s="23"/>
      <c r="X59" s="27"/>
      <c r="AE59" s="23"/>
      <c r="AF59" s="27"/>
      <c r="AM59" s="23"/>
      <c r="AO59" s="23"/>
      <c r="AP59" s="23"/>
      <c r="AQ59" s="23"/>
      <c r="AR59" s="23"/>
      <c r="AS59" s="23"/>
      <c r="AT59" s="23"/>
      <c r="AU59" s="23"/>
    </row>
    <row r="60" spans="6:47" x14ac:dyDescent="0.4">
      <c r="P60" s="27"/>
      <c r="W60" s="23"/>
      <c r="X60" s="27"/>
      <c r="AE60" s="23"/>
      <c r="AF60" s="27"/>
      <c r="AM60" s="23"/>
      <c r="AO60" s="23"/>
      <c r="AP60" s="23"/>
      <c r="AQ60" s="23"/>
      <c r="AR60" s="23"/>
      <c r="AS60" s="23"/>
      <c r="AT60" s="23"/>
      <c r="AU60" s="23"/>
    </row>
    <row r="61" spans="6:47" x14ac:dyDescent="0.4">
      <c r="P61" s="27"/>
      <c r="W61" s="23"/>
      <c r="X61" s="27"/>
      <c r="AE61" s="23"/>
      <c r="AF61" s="27"/>
      <c r="AM61" s="23"/>
      <c r="AO61" s="23"/>
      <c r="AP61" s="23"/>
      <c r="AQ61" s="23"/>
      <c r="AR61" s="23"/>
      <c r="AS61" s="23"/>
      <c r="AT61" s="23"/>
      <c r="AU61" s="23"/>
    </row>
    <row r="62" spans="6:47" x14ac:dyDescent="0.4">
      <c r="P62" s="27"/>
      <c r="W62" s="23"/>
      <c r="X62" s="27"/>
      <c r="AE62" s="23"/>
      <c r="AF62" s="27"/>
      <c r="AM62" s="23"/>
      <c r="AO62" s="23"/>
      <c r="AP62" s="23"/>
      <c r="AQ62" s="23"/>
      <c r="AR62" s="23"/>
      <c r="AS62" s="23"/>
      <c r="AT62" s="23"/>
      <c r="AU62" s="23"/>
    </row>
    <row r="63" spans="6:47" x14ac:dyDescent="0.4">
      <c r="P63" s="27"/>
      <c r="W63" s="23"/>
      <c r="X63" s="27"/>
      <c r="AE63" s="23"/>
      <c r="AF63" s="27"/>
      <c r="AM63" s="23"/>
      <c r="AO63" s="23"/>
      <c r="AP63" s="23"/>
      <c r="AQ63" s="23"/>
      <c r="AR63" s="23"/>
      <c r="AS63" s="23"/>
      <c r="AT63" s="23"/>
      <c r="AU63" s="23"/>
    </row>
    <row r="64" spans="6:47" x14ac:dyDescent="0.4">
      <c r="P64" s="27"/>
      <c r="W64" s="23"/>
      <c r="X64" s="27"/>
      <c r="AE64" s="23"/>
      <c r="AF64" s="27"/>
      <c r="AM64" s="23"/>
      <c r="AO64" s="23"/>
      <c r="AP64" s="23"/>
      <c r="AQ64" s="23"/>
      <c r="AR64" s="23"/>
      <c r="AS64" s="23"/>
      <c r="AT64" s="23"/>
      <c r="AU64" s="23"/>
    </row>
    <row r="65" spans="16:47" x14ac:dyDescent="0.4">
      <c r="P65" s="27"/>
      <c r="W65" s="23"/>
      <c r="X65" s="27"/>
      <c r="AE65" s="23"/>
      <c r="AF65" s="27"/>
      <c r="AM65" s="23"/>
      <c r="AO65" s="23"/>
      <c r="AP65" s="23"/>
      <c r="AQ65" s="23"/>
      <c r="AR65" s="23"/>
      <c r="AS65" s="23"/>
      <c r="AT65" s="23"/>
      <c r="AU65" s="23"/>
    </row>
    <row r="66" spans="16:47" x14ac:dyDescent="0.4">
      <c r="P66" s="27"/>
      <c r="W66" s="23"/>
      <c r="X66" s="27"/>
      <c r="AE66" s="23"/>
      <c r="AF66" s="27"/>
      <c r="AM66" s="23"/>
      <c r="AO66" s="23"/>
      <c r="AP66" s="23"/>
      <c r="AQ66" s="23"/>
      <c r="AR66" s="23"/>
      <c r="AS66" s="23"/>
      <c r="AT66" s="23"/>
      <c r="AU66" s="23"/>
    </row>
    <row r="67" spans="16:47" x14ac:dyDescent="0.4">
      <c r="P67" s="27"/>
      <c r="W67" s="23"/>
      <c r="X67" s="27"/>
      <c r="AE67" s="23"/>
      <c r="AF67" s="27"/>
      <c r="AM67" s="23"/>
      <c r="AO67" s="23"/>
      <c r="AP67" s="23"/>
      <c r="AQ67" s="23"/>
      <c r="AR67" s="23"/>
      <c r="AS67" s="23"/>
      <c r="AT67" s="23"/>
      <c r="AU67" s="23"/>
    </row>
    <row r="68" spans="16:47" x14ac:dyDescent="0.4">
      <c r="P68" s="27"/>
      <c r="W68" s="23"/>
      <c r="X68" s="27"/>
      <c r="AE68" s="23"/>
      <c r="AF68" s="27"/>
      <c r="AM68" s="23"/>
      <c r="AO68" s="23"/>
      <c r="AP68" s="23"/>
      <c r="AQ68" s="23"/>
      <c r="AR68" s="23"/>
      <c r="AS68" s="23"/>
      <c r="AT68" s="23"/>
      <c r="AU68" s="23"/>
    </row>
  </sheetData>
  <hyperlinks>
    <hyperlink ref="E3" r:id="rId1" xr:uid="{00000000-0004-0000-0800-000000000000}"/>
    <hyperlink ref="M3" r:id="rId2" xr:uid="{00000000-0004-0000-0800-000001000000}"/>
    <hyperlink ref="U3" r:id="rId3" xr:uid="{00000000-0004-0000-0800-000002000000}"/>
    <hyperlink ref="AC3" r:id="rId4" xr:uid="{00000000-0004-0000-0800-000003000000}"/>
    <hyperlink ref="AK3" r:id="rId5" xr:uid="{00000000-0004-0000-0800-000004000000}"/>
    <hyperlink ref="AS3" r:id="rId6" xr:uid="{00000000-0004-0000-0800-000005000000}"/>
  </hyperlinks>
  <pageMargins left="0.70866141732283472" right="0.70866141732283472" top="0.78740157480314965" bottom="0.78740157480314965" header="0.31496062992125984" footer="0.31496062992125984"/>
  <pageSetup paperSize="9" scale="84" fitToWidth="0" orientation="portrait" r:id="rId7"/>
  <headerFooter>
    <oddHeader>&amp;L&amp;"TheSans UHH,Fett"&amp;22&amp;UTV-L Tariftabellen</oddHeader>
  </headerFooter>
  <colBreaks count="1" manualBreakCount="1">
    <brk id="8" max="26"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3">
    <tabColor theme="2" tint="-9.9978637043366805E-2"/>
    <pageSetUpPr fitToPage="1"/>
  </sheetPr>
  <dimension ref="A1:AU177"/>
  <sheetViews>
    <sheetView showGridLines="0" zoomScale="84" zoomScaleNormal="84" zoomScaleSheetLayoutView="85" workbookViewId="0">
      <pane ySplit="1" topLeftCell="A29" activePane="bottomLeft" state="frozen"/>
      <selection activeCell="Q55" sqref="Q55"/>
      <selection pane="bottomLeft" activeCell="B32" sqref="B32"/>
    </sheetView>
  </sheetViews>
  <sheetFormatPr baseColWidth="10" defaultColWidth="11.42578125" defaultRowHeight="15" outlineLevelRow="1" outlineLevelCol="1" x14ac:dyDescent="0.25"/>
  <cols>
    <col min="1" max="1" width="25.7109375" style="1" customWidth="1" outlineLevel="1"/>
    <col min="2" max="3" width="13.42578125" style="1" customWidth="1" outlineLevel="1"/>
    <col min="4" max="4" width="11.42578125" style="1" outlineLevel="1"/>
    <col min="5" max="5" width="16" style="1" customWidth="1" outlineLevel="1"/>
    <col min="6" max="6" width="13" style="1" customWidth="1" outlineLevel="1"/>
    <col min="7" max="7" width="12.140625" style="1" customWidth="1" outlineLevel="1"/>
    <col min="8" max="8" width="18.7109375" style="1" customWidth="1"/>
    <col min="9" max="9" width="22.7109375" style="15" customWidth="1" outlineLevel="1"/>
    <col min="10" max="10" width="11.42578125" style="15" outlineLevel="1"/>
    <col min="11" max="11" width="11.42578125" style="15" customWidth="1" outlineLevel="1"/>
    <col min="12" max="12" width="16.5703125" style="15" customWidth="1" outlineLevel="1"/>
    <col min="13" max="13" width="15" style="15" customWidth="1" outlineLevel="1"/>
    <col min="14" max="14" width="13.28515625" style="15" customWidth="1" outlineLevel="1"/>
    <col min="15" max="15" width="12" style="15" customWidth="1" outlineLevel="1"/>
    <col min="16" max="16" width="5.7109375" style="1" customWidth="1"/>
    <col min="17" max="17" width="22.7109375" style="15" customWidth="1" outlineLevel="1"/>
    <col min="18" max="18" width="11.42578125" style="15" outlineLevel="1"/>
    <col min="19" max="19" width="11.42578125" style="15" bestFit="1" customWidth="1" outlineLevel="1"/>
    <col min="20" max="20" width="11.42578125" style="15" outlineLevel="1"/>
    <col min="21" max="21" width="19.28515625" style="15" customWidth="1" outlineLevel="1"/>
    <col min="22" max="22" width="13.28515625" style="15" customWidth="1" outlineLevel="1"/>
    <col min="23" max="23" width="12" style="15" customWidth="1" outlineLevel="1"/>
    <col min="24" max="24" width="21" style="1" customWidth="1"/>
    <col min="25" max="25" width="22.7109375" style="15" customWidth="1" outlineLevel="1"/>
    <col min="26" max="28" width="11.42578125" style="15" customWidth="1" outlineLevel="1"/>
    <col min="29" max="29" width="16" style="15" customWidth="1" outlineLevel="1"/>
    <col min="30" max="30" width="13.28515625" style="15" customWidth="1" outlineLevel="1"/>
    <col min="31" max="31" width="12" style="15" customWidth="1" outlineLevel="1"/>
    <col min="32" max="32" width="9.5703125" style="1" customWidth="1"/>
    <col min="33" max="33" width="22.7109375" style="15" customWidth="1" outlineLevel="1"/>
    <col min="34" max="34" width="14.5703125" style="15" customWidth="1" outlineLevel="1"/>
    <col min="35" max="36" width="17.140625" style="15" customWidth="1" outlineLevel="1"/>
    <col min="37" max="37" width="16" style="15" customWidth="1" outlineLevel="1"/>
    <col min="38" max="38" width="13.28515625" style="15" customWidth="1" outlineLevel="1"/>
    <col min="39" max="39" width="12" style="15" customWidth="1" outlineLevel="1"/>
    <col min="40" max="40" width="4.28515625" style="1" customWidth="1"/>
    <col min="41" max="41" width="22.7109375" style="15" customWidth="1" outlineLevel="1"/>
    <col min="42" max="42" width="11.42578125" style="15" outlineLevel="1"/>
    <col min="43" max="43" width="10.140625" style="15" customWidth="1" outlineLevel="1"/>
    <col min="44" max="44" width="11.42578125" style="15" outlineLevel="1"/>
    <col min="45" max="45" width="16" style="15" customWidth="1" outlineLevel="1"/>
    <col min="46" max="46" width="13.28515625" style="15" customWidth="1" outlineLevel="1"/>
    <col min="47" max="47" width="12" style="15" customWidth="1" outlineLevel="1"/>
    <col min="48" max="48" width="5.5703125" style="1" customWidth="1"/>
    <col min="49" max="16384" width="11.42578125" style="1"/>
  </cols>
  <sheetData>
    <row r="1" spans="1:47" ht="18" thickBot="1" x14ac:dyDescent="0.3">
      <c r="G1" s="25">
        <f>IF('HR-DM (U3,U4,U5AUF)'!J20&gt;1900,'HR-DM (U3,U4,U5AUF)'!J20,IF('HR-LM (U2,U5FOD,U7)'!J20&gt;1900,'HR-LM (U2,U5FOD,U7)'!J20,IF('HR-AZA(P)'!J20&gt;1900,'HR-AZA(P)'!J20,IF('HR-EU'!J20&gt;1900,'HR-EU'!J20,'HR-DM (U3,U4,U5AUF)'!J20))))</f>
        <v>1900</v>
      </c>
      <c r="O1" s="39">
        <f>G1+1</f>
        <v>1901</v>
      </c>
      <c r="W1" s="32">
        <f>O1+1</f>
        <v>1902</v>
      </c>
      <c r="AE1" s="31">
        <f>W1+1</f>
        <v>1903</v>
      </c>
      <c r="AM1" s="35">
        <f>AE1+1</f>
        <v>1904</v>
      </c>
      <c r="AU1" s="36">
        <f>AM1+1</f>
        <v>1905</v>
      </c>
    </row>
    <row r="2" spans="1:47" s="42" customFormat="1" ht="26.25" customHeight="1" thickBot="1" x14ac:dyDescent="0.3">
      <c r="A2" s="41" t="s">
        <v>44</v>
      </c>
      <c r="I2" s="41" t="s">
        <v>44</v>
      </c>
      <c r="Q2" s="41" t="s">
        <v>44</v>
      </c>
      <c r="Y2" s="41" t="s">
        <v>44</v>
      </c>
      <c r="AG2" s="41" t="s">
        <v>44</v>
      </c>
      <c r="AO2" s="41" t="s">
        <v>44</v>
      </c>
    </row>
    <row r="3" spans="1:47" ht="15.75" thickBot="1" x14ac:dyDescent="0.3">
      <c r="A3" s="335" t="s">
        <v>27</v>
      </c>
      <c r="B3" s="335">
        <v>1</v>
      </c>
      <c r="C3" s="335">
        <v>2</v>
      </c>
      <c r="D3" s="335">
        <v>3</v>
      </c>
      <c r="E3" s="335">
        <v>4</v>
      </c>
      <c r="F3" s="335">
        <v>5</v>
      </c>
      <c r="G3" s="335">
        <v>6</v>
      </c>
      <c r="I3" s="335" t="s">
        <v>27</v>
      </c>
      <c r="J3" s="335">
        <v>1</v>
      </c>
      <c r="K3" s="335">
        <v>2</v>
      </c>
      <c r="L3" s="335">
        <v>3</v>
      </c>
      <c r="M3" s="335">
        <v>4</v>
      </c>
      <c r="N3" s="335">
        <v>5</v>
      </c>
      <c r="O3" s="335">
        <v>6</v>
      </c>
      <c r="Q3" s="335" t="s">
        <v>27</v>
      </c>
      <c r="R3" s="335">
        <v>1</v>
      </c>
      <c r="S3" s="335">
        <v>2</v>
      </c>
      <c r="T3" s="335">
        <v>3</v>
      </c>
      <c r="U3" s="335">
        <v>4</v>
      </c>
      <c r="V3" s="335">
        <v>5</v>
      </c>
      <c r="W3" s="335">
        <v>6</v>
      </c>
      <c r="Y3" s="335" t="s">
        <v>27</v>
      </c>
      <c r="Z3" s="335">
        <v>1</v>
      </c>
      <c r="AA3" s="335">
        <v>2</v>
      </c>
      <c r="AB3" s="335">
        <v>3</v>
      </c>
      <c r="AC3" s="335">
        <v>4</v>
      </c>
      <c r="AD3" s="335">
        <v>5</v>
      </c>
      <c r="AE3" s="335">
        <v>6</v>
      </c>
      <c r="AG3" s="335" t="s">
        <v>27</v>
      </c>
      <c r="AH3" s="335">
        <v>1</v>
      </c>
      <c r="AI3" s="335">
        <v>2</v>
      </c>
      <c r="AJ3" s="335">
        <v>3</v>
      </c>
      <c r="AK3" s="335">
        <v>4</v>
      </c>
      <c r="AL3" s="335">
        <v>5</v>
      </c>
      <c r="AM3" s="335">
        <v>6</v>
      </c>
      <c r="AO3" s="335" t="s">
        <v>27</v>
      </c>
      <c r="AP3" s="335">
        <v>1</v>
      </c>
      <c r="AQ3" s="335">
        <v>2</v>
      </c>
      <c r="AR3" s="335">
        <v>3</v>
      </c>
      <c r="AS3" s="335">
        <v>4</v>
      </c>
      <c r="AT3" s="335">
        <v>5</v>
      </c>
      <c r="AU3" s="335">
        <v>6</v>
      </c>
    </row>
    <row r="4" spans="1:47" ht="15.75" thickBot="1" x14ac:dyDescent="0.3">
      <c r="A4" s="336" t="s">
        <v>246</v>
      </c>
      <c r="B4" s="4">
        <f t="shared" ref="B4:B22" si="0">IF($G$1=$AO$157,AP159,IF($G$1=$AO$135,AP137,IF($G$1=$AO$112,AP114,IF($G$1=$AO$89,AP91,AP68))))</f>
        <v>0.32529999999999998</v>
      </c>
      <c r="C4" s="4">
        <f t="shared" ref="C4:C22" si="1">IF($G$1=$AO$157,AQ159,IF($G$1=$AO$135,AQ137,IF($G$1=$AO$112,AQ114,IF($G$1=$AO$89,AQ91,AQ68))))</f>
        <v>0.32529999999999998</v>
      </c>
      <c r="D4" s="4">
        <f t="shared" ref="D4:D22" si="2">IF($G$1=$AO$157,AR159,IF($G$1=$AO$135,AR137,IF($G$1=$AO$112,AR114,IF($G$1=$AO$89,AR91,AR68))))</f>
        <v>0.32529999999999998</v>
      </c>
      <c r="E4" s="4">
        <f t="shared" ref="E4:E22" si="3">IF($G$1=$AO$157,AS159,IF($G$1=$AO$135,AS137,IF($G$1=$AO$112,AS114,IF($G$1=$AO$89,AS91,AS68))))</f>
        <v>0.32529999999999998</v>
      </c>
      <c r="F4" s="4">
        <f t="shared" ref="F4:F22" si="4">IF($G$1=$AO$157,AT159,IF($G$1=$AO$135,AT137,IF($G$1=$AO$112,AT114,IF($G$1=$AO$89,AT91,AT68))))</f>
        <v>0.32529999999999998</v>
      </c>
      <c r="G4" s="4">
        <f t="shared" ref="G4:G22" si="5">IF($G$1=$AO$157,AU159,IF($G$1=$AO$135,AU137,IF($G$1=$AO$112,AU114,IF($G$1=$AO$89,AU91,AU68))))</f>
        <v>0.32529999999999998</v>
      </c>
      <c r="I4" s="336" t="s">
        <v>246</v>
      </c>
      <c r="J4" s="4">
        <f t="shared" ref="J4:J22" si="6">IF($O$1=$AO$157,AP159,IF($O$1=$AO$135,AP137,IF($O$1=$AO$112,AP114,IF($O$1=$AO$89,AP91,AP68))))</f>
        <v>0.32529999999999998</v>
      </c>
      <c r="K4" s="4">
        <f t="shared" ref="K4:K22" si="7">IF($O$1=$AO$157,AQ159,IF($O$1=$AO$135,AQ137,IF($O$1=$AO$112,AQ114,IF($O$1=$AO$89,AQ91,AQ68))))</f>
        <v>0.32529999999999998</v>
      </c>
      <c r="L4" s="4">
        <f t="shared" ref="L4:L22" si="8">IF($O$1=$AO$157,AR159,IF($O$1=$AO$135,AR137,IF($O$1=$AO$112,AR114,IF($O$1=$AO$89,AR91,AR68))))</f>
        <v>0.32529999999999998</v>
      </c>
      <c r="M4" s="4">
        <f t="shared" ref="M4:M22" si="9">IF($O$1=$AO$157,AS159,IF($O$1=$AO$135,AS137,IF($O$1=$AO$112,AS114,IF($O$1=$AO$89,AS91,AS68))))</f>
        <v>0.32529999999999998</v>
      </c>
      <c r="N4" s="4">
        <f t="shared" ref="N4:N22" si="10">IF($O$1=$AO$157,AT159,IF($O$1=$AO$135,AT137,IF($O$1=$AO$112,AT114,IF($O$1=$AO$89,AT91,AT68))))</f>
        <v>0.32529999999999998</v>
      </c>
      <c r="O4" s="4">
        <f t="shared" ref="O4:O22" si="11">IF($O$1=$AO$157,AU159,IF($O$1=$AO$135,AU137,IF($O$1=$AO$112,AU114,IF($O$1=$AO$89,AU91,AU68))))</f>
        <v>0.32529999999999998</v>
      </c>
      <c r="Q4" s="336" t="s">
        <v>246</v>
      </c>
      <c r="R4" s="4">
        <f t="shared" ref="R4:R22" si="12">IF($W$1=$AO$157,AP159,IF($W$1=$AO$135,AP137,IF($W$1=$AO$112,AP114,IF($W$1=$AO$89,AP91,AP68))))</f>
        <v>0.32529999999999998</v>
      </c>
      <c r="S4" s="4">
        <f t="shared" ref="S4:S22" si="13">IF($W$1=$AO$157,AQ159,IF($W$1=$AO$135,AQ137,IF($W$1=$AO$112,AQ114,IF($W$1=$AO$89,AQ91,AQ68))))</f>
        <v>0.32529999999999998</v>
      </c>
      <c r="T4" s="4">
        <f t="shared" ref="T4:T22" si="14">IF($W$1=$AO$157,AR159,IF($W$1=$AO$135,AR137,IF($W$1=$AO$112,AR114,IF($W$1=$AO$89,AR91,AR68))))</f>
        <v>0.32529999999999998</v>
      </c>
      <c r="U4" s="4">
        <f t="shared" ref="U4:U22" si="15">IF($W$1=$AO$157,AS159,IF($W$1=$AO$135,AS137,IF($W$1=$AO$112,AS114,IF($W$1=$AO$89,AS91,AS68))))</f>
        <v>0.32529999999999998</v>
      </c>
      <c r="V4" s="4">
        <f t="shared" ref="V4:V22" si="16">IF($W$1=$AO$157,AT159,IF($W$1=$AO$135,AT137,IF($W$1=$AO$112,AT114,IF($W$1=$AO$89,AT91,AT68))))</f>
        <v>0.32529999999999998</v>
      </c>
      <c r="W4" s="4">
        <f t="shared" ref="W4:W22" si="17">IF($W$1=$AO$157,AU159,IF($W$1=$AO$135,AU137,IF($W$1=$AO$112,AU114,IF($W$1=$AO$89,AU91,AU68))))</f>
        <v>0.32529999999999998</v>
      </c>
      <c r="Y4" s="336" t="s">
        <v>246</v>
      </c>
      <c r="Z4" s="4">
        <f t="shared" ref="Z4:Z22" si="18">IF($AE$1=$AO$157,AP159,IF($AE$1=$AO$135,AP137,IF($AE$1=$AO$112,AP114,IF($AE$1=$AO$89,AP91,AP68))))</f>
        <v>0.32529999999999998</v>
      </c>
      <c r="AA4" s="4">
        <f t="shared" ref="AA4:AA22" si="19">IF($AE$1=$AO$157,AQ159,IF($AE$1=$AO$135,AQ137,IF($AE$1=$AO$112,AQ114,IF($AE$1=$AO$89,AQ91,AQ68))))</f>
        <v>0.32529999999999998</v>
      </c>
      <c r="AB4" s="4">
        <f t="shared" ref="AB4:AB22" si="20">IF($AE$1=$AO$157,AR159,IF($AE$1=$AO$135,AR137,IF($AE$1=$AO$112,AR114,IF($AE$1=$AO$89,AR91,AR68))))</f>
        <v>0.32529999999999998</v>
      </c>
      <c r="AC4" s="4">
        <f t="shared" ref="AC4:AC22" si="21">IF($AE$1=$AO$157,AS159,IF($AE$1=$AO$135,AS137,IF($AE$1=$AO$112,AS114,IF($AE$1=$AO$89,AS91,AS68))))</f>
        <v>0.32529999999999998</v>
      </c>
      <c r="AD4" s="4">
        <f t="shared" ref="AD4:AD22" si="22">IF($AE$1=$AO$157,AT159,IF($AE$1=$AO$135,AT137,IF($AE$1=$AO$112,AT114,IF($AE$1=$AO$89,AT91,AT68))))</f>
        <v>0.32529999999999998</v>
      </c>
      <c r="AE4" s="4">
        <f t="shared" ref="AE4:AE22" si="23">IF($AE$1=$AO$157,AU159,IF($AE$1=$AO$135,AU137,IF($AE$1=$AO$112,AU114,IF($AE$1=$AO$89,AU91,AU68))))</f>
        <v>0.32529999999999998</v>
      </c>
      <c r="AG4" s="336" t="s">
        <v>246</v>
      </c>
      <c r="AH4" s="4">
        <f t="shared" ref="AH4:AH22" si="24">IF($AM$1=$AO$157,AP159,IF($AM$1=$AO$135,AP137,IF($AM$1=$AO$112,AP114,IF($AM$1=$AO$89,AP91,AP68))))</f>
        <v>0.32529999999999998</v>
      </c>
      <c r="AI4" s="4">
        <f t="shared" ref="AI4:AI22" si="25">IF($AM$1=$AO$157,AQ159,IF($AM$1=$AO$135,AQ137,IF($AM$1=$AO$112,AQ114,IF($AM$1=$AO$89,AQ91,AQ68))))</f>
        <v>0.32529999999999998</v>
      </c>
      <c r="AJ4" s="4">
        <f t="shared" ref="AJ4:AJ22" si="26">IF($AM$1=$AO$157,AR159,IF($AM$1=$AO$135,AR137,IF($AM$1=$AO$112,AR114,IF($AM$1=$AO$89,AR91,AR68))))</f>
        <v>0.32529999999999998</v>
      </c>
      <c r="AK4" s="4">
        <f t="shared" ref="AK4:AK22" si="27">IF($AM$1=$AO$157,AS159,IF($AM$1=$AO$135,AS137,IF($AM$1=$AO$112,AS114,IF($AM$1=$AO$89,AS91,AS68))))</f>
        <v>0.32529999999999998</v>
      </c>
      <c r="AL4" s="4">
        <f t="shared" ref="AL4:AL22" si="28">IF($AM$1=$AO$157,AT159,IF($AM$1=$AO$135,AT137,IF($AM$1=$AO$112,AT114,IF($AM$1=$AO$89,AT91,AT68))))</f>
        <v>0.32529999999999998</v>
      </c>
      <c r="AM4" s="4">
        <f t="shared" ref="AM4:AM22" si="29">IF($AM$1=$AO$157,AU159,IF($AM$1=$AO$135,AU137,IF($AM$1=$AO$112,AU114,IF($AM$1=$AO$89,AU91,AU68))))</f>
        <v>0.32529999999999998</v>
      </c>
      <c r="AO4" s="336" t="s">
        <v>246</v>
      </c>
      <c r="AP4" s="4">
        <f t="shared" ref="AP4:AU13" si="30">IF($AU$1=$AO$157,AP159,IF($AU$1=$AO$135,AP137,IF($AU$1=$AO$112,AP114,IF($AU$1=$AO$89,AP91,AP68))))</f>
        <v>0.32529999999999998</v>
      </c>
      <c r="AQ4" s="4">
        <f t="shared" si="30"/>
        <v>0.32529999999999998</v>
      </c>
      <c r="AR4" s="4">
        <f t="shared" si="30"/>
        <v>0.32529999999999998</v>
      </c>
      <c r="AS4" s="4">
        <f t="shared" si="30"/>
        <v>0.32529999999999998</v>
      </c>
      <c r="AT4" s="4">
        <f t="shared" si="30"/>
        <v>0.32529999999999998</v>
      </c>
      <c r="AU4" s="4">
        <f t="shared" si="30"/>
        <v>0.32529999999999998</v>
      </c>
    </row>
    <row r="5" spans="1:47" ht="15.75" thickBot="1" x14ac:dyDescent="0.3">
      <c r="A5" s="336">
        <v>15</v>
      </c>
      <c r="B5" s="4">
        <f t="shared" si="0"/>
        <v>0.32529999999999998</v>
      </c>
      <c r="C5" s="4">
        <f t="shared" si="1"/>
        <v>0.32529999999999998</v>
      </c>
      <c r="D5" s="4">
        <f t="shared" si="2"/>
        <v>0.32529999999999998</v>
      </c>
      <c r="E5" s="4">
        <f t="shared" si="3"/>
        <v>0.32529999999999998</v>
      </c>
      <c r="F5" s="4">
        <f t="shared" si="4"/>
        <v>0.32529999999999998</v>
      </c>
      <c r="G5" s="4">
        <f t="shared" si="5"/>
        <v>0.32529999999999998</v>
      </c>
      <c r="I5" s="336">
        <v>15</v>
      </c>
      <c r="J5" s="4">
        <f t="shared" si="6"/>
        <v>0.32529999999999998</v>
      </c>
      <c r="K5" s="4">
        <f t="shared" si="7"/>
        <v>0.32529999999999998</v>
      </c>
      <c r="L5" s="4">
        <f t="shared" si="8"/>
        <v>0.32529999999999998</v>
      </c>
      <c r="M5" s="4">
        <f t="shared" si="9"/>
        <v>0.32529999999999998</v>
      </c>
      <c r="N5" s="4">
        <f t="shared" si="10"/>
        <v>0.32529999999999998</v>
      </c>
      <c r="O5" s="4">
        <f t="shared" si="11"/>
        <v>0.32529999999999998</v>
      </c>
      <c r="Q5" s="336">
        <v>15</v>
      </c>
      <c r="R5" s="4">
        <f t="shared" si="12"/>
        <v>0.32529999999999998</v>
      </c>
      <c r="S5" s="4">
        <f t="shared" si="13"/>
        <v>0.32529999999999998</v>
      </c>
      <c r="T5" s="4">
        <f t="shared" si="14"/>
        <v>0.32529999999999998</v>
      </c>
      <c r="U5" s="4">
        <f t="shared" si="15"/>
        <v>0.32529999999999998</v>
      </c>
      <c r="V5" s="4">
        <f t="shared" si="16"/>
        <v>0.32529999999999998</v>
      </c>
      <c r="W5" s="4">
        <f t="shared" si="17"/>
        <v>0.32529999999999998</v>
      </c>
      <c r="Y5" s="336">
        <v>15</v>
      </c>
      <c r="Z5" s="4">
        <f t="shared" si="18"/>
        <v>0.32529999999999998</v>
      </c>
      <c r="AA5" s="4">
        <f t="shared" si="19"/>
        <v>0.32529999999999998</v>
      </c>
      <c r="AB5" s="4">
        <f t="shared" si="20"/>
        <v>0.32529999999999998</v>
      </c>
      <c r="AC5" s="4">
        <f t="shared" si="21"/>
        <v>0.32529999999999998</v>
      </c>
      <c r="AD5" s="4">
        <f t="shared" si="22"/>
        <v>0.32529999999999998</v>
      </c>
      <c r="AE5" s="4">
        <f t="shared" si="23"/>
        <v>0.32529999999999998</v>
      </c>
      <c r="AG5" s="336">
        <v>15</v>
      </c>
      <c r="AH5" s="4">
        <f t="shared" si="24"/>
        <v>0.32529999999999998</v>
      </c>
      <c r="AI5" s="4">
        <f t="shared" si="25"/>
        <v>0.32529999999999998</v>
      </c>
      <c r="AJ5" s="4">
        <f t="shared" si="26"/>
        <v>0.32529999999999998</v>
      </c>
      <c r="AK5" s="4">
        <f t="shared" si="27"/>
        <v>0.32529999999999998</v>
      </c>
      <c r="AL5" s="4">
        <f t="shared" si="28"/>
        <v>0.32529999999999998</v>
      </c>
      <c r="AM5" s="4">
        <f t="shared" si="29"/>
        <v>0.32529999999999998</v>
      </c>
      <c r="AO5" s="336">
        <v>15</v>
      </c>
      <c r="AP5" s="4">
        <f t="shared" si="30"/>
        <v>0.32529999999999998</v>
      </c>
      <c r="AQ5" s="4">
        <f t="shared" si="30"/>
        <v>0.32529999999999998</v>
      </c>
      <c r="AR5" s="4">
        <f t="shared" si="30"/>
        <v>0.32529999999999998</v>
      </c>
      <c r="AS5" s="4">
        <f t="shared" si="30"/>
        <v>0.32529999999999998</v>
      </c>
      <c r="AT5" s="4">
        <f t="shared" si="30"/>
        <v>0.32529999999999998</v>
      </c>
      <c r="AU5" s="4">
        <f t="shared" si="30"/>
        <v>0.32529999999999998</v>
      </c>
    </row>
    <row r="6" spans="1:47" ht="15.75" thickBot="1" x14ac:dyDescent="0.3">
      <c r="A6" s="336">
        <v>14</v>
      </c>
      <c r="B6" s="4">
        <f t="shared" si="0"/>
        <v>0.32529999999999998</v>
      </c>
      <c r="C6" s="4">
        <f t="shared" si="1"/>
        <v>0.32529999999999998</v>
      </c>
      <c r="D6" s="4">
        <f t="shared" si="2"/>
        <v>0.32529999999999998</v>
      </c>
      <c r="E6" s="4">
        <f t="shared" si="3"/>
        <v>0.32529999999999998</v>
      </c>
      <c r="F6" s="4">
        <f t="shared" si="4"/>
        <v>0.32529999999999998</v>
      </c>
      <c r="G6" s="4">
        <f t="shared" si="5"/>
        <v>0.32529999999999998</v>
      </c>
      <c r="I6" s="336">
        <v>14</v>
      </c>
      <c r="J6" s="4">
        <f t="shared" si="6"/>
        <v>0.32529999999999998</v>
      </c>
      <c r="K6" s="4">
        <f t="shared" si="7"/>
        <v>0.32529999999999998</v>
      </c>
      <c r="L6" s="4">
        <f t="shared" si="8"/>
        <v>0.32529999999999998</v>
      </c>
      <c r="M6" s="4">
        <f t="shared" si="9"/>
        <v>0.32529999999999998</v>
      </c>
      <c r="N6" s="4">
        <f t="shared" si="10"/>
        <v>0.32529999999999998</v>
      </c>
      <c r="O6" s="4">
        <f t="shared" si="11"/>
        <v>0.32529999999999998</v>
      </c>
      <c r="Q6" s="336">
        <v>14</v>
      </c>
      <c r="R6" s="4">
        <f t="shared" si="12"/>
        <v>0.32529999999999998</v>
      </c>
      <c r="S6" s="4">
        <f t="shared" si="13"/>
        <v>0.32529999999999998</v>
      </c>
      <c r="T6" s="4">
        <f t="shared" si="14"/>
        <v>0.32529999999999998</v>
      </c>
      <c r="U6" s="4">
        <f t="shared" si="15"/>
        <v>0.32529999999999998</v>
      </c>
      <c r="V6" s="4">
        <f t="shared" si="16"/>
        <v>0.32529999999999998</v>
      </c>
      <c r="W6" s="4">
        <f t="shared" si="17"/>
        <v>0.32529999999999998</v>
      </c>
      <c r="Y6" s="336">
        <v>14</v>
      </c>
      <c r="Z6" s="4">
        <f t="shared" si="18"/>
        <v>0.32529999999999998</v>
      </c>
      <c r="AA6" s="4">
        <f t="shared" si="19"/>
        <v>0.32529999999999998</v>
      </c>
      <c r="AB6" s="4">
        <f t="shared" si="20"/>
        <v>0.32529999999999998</v>
      </c>
      <c r="AC6" s="4">
        <f t="shared" si="21"/>
        <v>0.32529999999999998</v>
      </c>
      <c r="AD6" s="4">
        <f t="shared" si="22"/>
        <v>0.32529999999999998</v>
      </c>
      <c r="AE6" s="4">
        <f t="shared" si="23"/>
        <v>0.32529999999999998</v>
      </c>
      <c r="AG6" s="336">
        <v>14</v>
      </c>
      <c r="AH6" s="4">
        <f t="shared" si="24"/>
        <v>0.32529999999999998</v>
      </c>
      <c r="AI6" s="4">
        <f t="shared" si="25"/>
        <v>0.32529999999999998</v>
      </c>
      <c r="AJ6" s="4">
        <f t="shared" si="26"/>
        <v>0.32529999999999998</v>
      </c>
      <c r="AK6" s="4">
        <f t="shared" si="27"/>
        <v>0.32529999999999998</v>
      </c>
      <c r="AL6" s="4">
        <f t="shared" si="28"/>
        <v>0.32529999999999998</v>
      </c>
      <c r="AM6" s="4">
        <f t="shared" si="29"/>
        <v>0.32529999999999998</v>
      </c>
      <c r="AO6" s="336">
        <v>14</v>
      </c>
      <c r="AP6" s="4">
        <f t="shared" si="30"/>
        <v>0.32529999999999998</v>
      </c>
      <c r="AQ6" s="4">
        <f t="shared" si="30"/>
        <v>0.32529999999999998</v>
      </c>
      <c r="AR6" s="4">
        <f t="shared" si="30"/>
        <v>0.32529999999999998</v>
      </c>
      <c r="AS6" s="4">
        <f t="shared" si="30"/>
        <v>0.32529999999999998</v>
      </c>
      <c r="AT6" s="4">
        <f t="shared" si="30"/>
        <v>0.32529999999999998</v>
      </c>
      <c r="AU6" s="4">
        <f t="shared" si="30"/>
        <v>0.32529999999999998</v>
      </c>
    </row>
    <row r="7" spans="1:47" ht="15.75" thickBot="1" x14ac:dyDescent="0.3">
      <c r="A7" s="336" t="s">
        <v>247</v>
      </c>
      <c r="B7" s="4">
        <f t="shared" si="0"/>
        <v>0</v>
      </c>
      <c r="C7" s="4">
        <f t="shared" si="1"/>
        <v>0.4647</v>
      </c>
      <c r="D7" s="4">
        <f t="shared" si="2"/>
        <v>0.4647</v>
      </c>
      <c r="E7" s="4">
        <f t="shared" si="3"/>
        <v>0.32529999999999998</v>
      </c>
      <c r="F7" s="4">
        <f t="shared" si="4"/>
        <v>0.32529999999999998</v>
      </c>
      <c r="G7" s="4">
        <f t="shared" si="5"/>
        <v>0.32529999999999998</v>
      </c>
      <c r="I7" s="336" t="s">
        <v>247</v>
      </c>
      <c r="J7" s="4">
        <f t="shared" si="6"/>
        <v>0</v>
      </c>
      <c r="K7" s="4">
        <f t="shared" si="7"/>
        <v>0.4647</v>
      </c>
      <c r="L7" s="4">
        <f t="shared" si="8"/>
        <v>0.4647</v>
      </c>
      <c r="M7" s="4">
        <f t="shared" si="9"/>
        <v>0.32529999999999998</v>
      </c>
      <c r="N7" s="4">
        <f t="shared" si="10"/>
        <v>0.32529999999999998</v>
      </c>
      <c r="O7" s="4">
        <f t="shared" si="11"/>
        <v>0.32529999999999998</v>
      </c>
      <c r="Q7" s="336" t="s">
        <v>247</v>
      </c>
      <c r="R7" s="4">
        <f t="shared" si="12"/>
        <v>0</v>
      </c>
      <c r="S7" s="4">
        <f t="shared" si="13"/>
        <v>0.4647</v>
      </c>
      <c r="T7" s="4">
        <f t="shared" si="14"/>
        <v>0.4647</v>
      </c>
      <c r="U7" s="4">
        <f t="shared" si="15"/>
        <v>0.32529999999999998</v>
      </c>
      <c r="V7" s="4">
        <f t="shared" si="16"/>
        <v>0.32529999999999998</v>
      </c>
      <c r="W7" s="4">
        <f t="shared" si="17"/>
        <v>0.32529999999999998</v>
      </c>
      <c r="Y7" s="336" t="s">
        <v>247</v>
      </c>
      <c r="Z7" s="4">
        <f t="shared" si="18"/>
        <v>0</v>
      </c>
      <c r="AA7" s="4">
        <f t="shared" si="19"/>
        <v>0.4647</v>
      </c>
      <c r="AB7" s="4">
        <f t="shared" si="20"/>
        <v>0.4647</v>
      </c>
      <c r="AC7" s="4">
        <f t="shared" si="21"/>
        <v>0.32529999999999998</v>
      </c>
      <c r="AD7" s="4">
        <f t="shared" si="22"/>
        <v>0.32529999999999998</v>
      </c>
      <c r="AE7" s="4">
        <f t="shared" si="23"/>
        <v>0.32529999999999998</v>
      </c>
      <c r="AG7" s="336" t="s">
        <v>247</v>
      </c>
      <c r="AH7" s="4">
        <f t="shared" si="24"/>
        <v>0</v>
      </c>
      <c r="AI7" s="4">
        <f t="shared" si="25"/>
        <v>0.4647</v>
      </c>
      <c r="AJ7" s="4">
        <f t="shared" si="26"/>
        <v>0.4647</v>
      </c>
      <c r="AK7" s="4">
        <f t="shared" si="27"/>
        <v>0.32529999999999998</v>
      </c>
      <c r="AL7" s="4">
        <f t="shared" si="28"/>
        <v>0.32529999999999998</v>
      </c>
      <c r="AM7" s="4">
        <f t="shared" si="29"/>
        <v>0.32529999999999998</v>
      </c>
      <c r="AO7" s="336" t="s">
        <v>247</v>
      </c>
      <c r="AP7" s="4">
        <f t="shared" si="30"/>
        <v>0</v>
      </c>
      <c r="AQ7" s="4">
        <f t="shared" si="30"/>
        <v>0.4647</v>
      </c>
      <c r="AR7" s="4">
        <f t="shared" si="30"/>
        <v>0.4647</v>
      </c>
      <c r="AS7" s="4">
        <f t="shared" si="30"/>
        <v>0.32529999999999998</v>
      </c>
      <c r="AT7" s="4">
        <f t="shared" si="30"/>
        <v>0.32529999999999998</v>
      </c>
      <c r="AU7" s="4">
        <f t="shared" si="30"/>
        <v>0.32529999999999998</v>
      </c>
    </row>
    <row r="8" spans="1:47" ht="15.75" thickBot="1" x14ac:dyDescent="0.3">
      <c r="A8" s="336">
        <v>13</v>
      </c>
      <c r="B8" s="4">
        <f t="shared" si="0"/>
        <v>0.4647</v>
      </c>
      <c r="C8" s="4">
        <f t="shared" si="1"/>
        <v>0.4647</v>
      </c>
      <c r="D8" s="4">
        <f t="shared" si="2"/>
        <v>0.4647</v>
      </c>
      <c r="E8" s="4">
        <f t="shared" si="3"/>
        <v>0.4647</v>
      </c>
      <c r="F8" s="4">
        <f t="shared" si="4"/>
        <v>0.4647</v>
      </c>
      <c r="G8" s="4">
        <f t="shared" si="5"/>
        <v>0.4647</v>
      </c>
      <c r="I8" s="336">
        <v>13</v>
      </c>
      <c r="J8" s="4">
        <f t="shared" si="6"/>
        <v>0.4647</v>
      </c>
      <c r="K8" s="4">
        <f t="shared" si="7"/>
        <v>0.4647</v>
      </c>
      <c r="L8" s="4">
        <f t="shared" si="8"/>
        <v>0.4647</v>
      </c>
      <c r="M8" s="4">
        <f t="shared" si="9"/>
        <v>0.4647</v>
      </c>
      <c r="N8" s="4">
        <f t="shared" si="10"/>
        <v>0.4647</v>
      </c>
      <c r="O8" s="4">
        <f t="shared" si="11"/>
        <v>0.4647</v>
      </c>
      <c r="Q8" s="336">
        <v>13</v>
      </c>
      <c r="R8" s="4">
        <f t="shared" si="12"/>
        <v>0.4647</v>
      </c>
      <c r="S8" s="4">
        <f t="shared" si="13"/>
        <v>0.4647</v>
      </c>
      <c r="T8" s="4">
        <f t="shared" si="14"/>
        <v>0.4647</v>
      </c>
      <c r="U8" s="4">
        <f t="shared" si="15"/>
        <v>0.4647</v>
      </c>
      <c r="V8" s="4">
        <f t="shared" si="16"/>
        <v>0.4647</v>
      </c>
      <c r="W8" s="4">
        <f t="shared" si="17"/>
        <v>0.4647</v>
      </c>
      <c r="Y8" s="336">
        <v>13</v>
      </c>
      <c r="Z8" s="4">
        <f t="shared" si="18"/>
        <v>0.4647</v>
      </c>
      <c r="AA8" s="4">
        <f t="shared" si="19"/>
        <v>0.4647</v>
      </c>
      <c r="AB8" s="4">
        <f t="shared" si="20"/>
        <v>0.4647</v>
      </c>
      <c r="AC8" s="4">
        <f t="shared" si="21"/>
        <v>0.4647</v>
      </c>
      <c r="AD8" s="4">
        <f t="shared" si="22"/>
        <v>0.4647</v>
      </c>
      <c r="AE8" s="4">
        <f t="shared" si="23"/>
        <v>0.4647</v>
      </c>
      <c r="AG8" s="336">
        <v>13</v>
      </c>
      <c r="AH8" s="4">
        <f t="shared" si="24"/>
        <v>0.4647</v>
      </c>
      <c r="AI8" s="4">
        <f t="shared" si="25"/>
        <v>0.4647</v>
      </c>
      <c r="AJ8" s="4">
        <f t="shared" si="26"/>
        <v>0.4647</v>
      </c>
      <c r="AK8" s="4">
        <f t="shared" si="27"/>
        <v>0.4647</v>
      </c>
      <c r="AL8" s="4">
        <f t="shared" si="28"/>
        <v>0.4647</v>
      </c>
      <c r="AM8" s="4">
        <f t="shared" si="29"/>
        <v>0.4647</v>
      </c>
      <c r="AO8" s="336">
        <v>13</v>
      </c>
      <c r="AP8" s="4">
        <f t="shared" si="30"/>
        <v>0.4647</v>
      </c>
      <c r="AQ8" s="4">
        <f t="shared" si="30"/>
        <v>0.4647</v>
      </c>
      <c r="AR8" s="4">
        <f t="shared" si="30"/>
        <v>0.4647</v>
      </c>
      <c r="AS8" s="4">
        <f t="shared" si="30"/>
        <v>0.4647</v>
      </c>
      <c r="AT8" s="4">
        <f t="shared" si="30"/>
        <v>0.4647</v>
      </c>
      <c r="AU8" s="4">
        <f t="shared" si="30"/>
        <v>0.4647</v>
      </c>
    </row>
    <row r="9" spans="1:47" ht="15.75" thickBot="1" x14ac:dyDescent="0.3">
      <c r="A9" s="336">
        <v>12</v>
      </c>
      <c r="B9" s="4">
        <f t="shared" si="0"/>
        <v>0.4647</v>
      </c>
      <c r="C9" s="4">
        <f t="shared" si="1"/>
        <v>0.4647</v>
      </c>
      <c r="D9" s="4">
        <f t="shared" si="2"/>
        <v>0.4647</v>
      </c>
      <c r="E9" s="4">
        <f t="shared" si="3"/>
        <v>0.4647</v>
      </c>
      <c r="F9" s="4">
        <f t="shared" si="4"/>
        <v>0.4647</v>
      </c>
      <c r="G9" s="4">
        <f t="shared" si="5"/>
        <v>0.4647</v>
      </c>
      <c r="I9" s="336">
        <v>12</v>
      </c>
      <c r="J9" s="4">
        <f t="shared" si="6"/>
        <v>0.4647</v>
      </c>
      <c r="K9" s="4">
        <f t="shared" si="7"/>
        <v>0.4647</v>
      </c>
      <c r="L9" s="4">
        <f t="shared" si="8"/>
        <v>0.4647</v>
      </c>
      <c r="M9" s="4">
        <f t="shared" si="9"/>
        <v>0.4647</v>
      </c>
      <c r="N9" s="4">
        <f t="shared" si="10"/>
        <v>0.4647</v>
      </c>
      <c r="O9" s="4">
        <f t="shared" si="11"/>
        <v>0.4647</v>
      </c>
      <c r="Q9" s="336">
        <v>12</v>
      </c>
      <c r="R9" s="4">
        <f t="shared" si="12"/>
        <v>0.4647</v>
      </c>
      <c r="S9" s="4">
        <f t="shared" si="13"/>
        <v>0.4647</v>
      </c>
      <c r="T9" s="4">
        <f t="shared" si="14"/>
        <v>0.4647</v>
      </c>
      <c r="U9" s="4">
        <f t="shared" si="15"/>
        <v>0.4647</v>
      </c>
      <c r="V9" s="4">
        <f t="shared" si="16"/>
        <v>0.4647</v>
      </c>
      <c r="W9" s="4">
        <f t="shared" si="17"/>
        <v>0.4647</v>
      </c>
      <c r="Y9" s="336">
        <v>12</v>
      </c>
      <c r="Z9" s="4">
        <f t="shared" si="18"/>
        <v>0.4647</v>
      </c>
      <c r="AA9" s="4">
        <f t="shared" si="19"/>
        <v>0.4647</v>
      </c>
      <c r="AB9" s="4">
        <f t="shared" si="20"/>
        <v>0.4647</v>
      </c>
      <c r="AC9" s="4">
        <f t="shared" si="21"/>
        <v>0.4647</v>
      </c>
      <c r="AD9" s="4">
        <f t="shared" si="22"/>
        <v>0.4647</v>
      </c>
      <c r="AE9" s="4">
        <f t="shared" si="23"/>
        <v>0.4647</v>
      </c>
      <c r="AG9" s="336">
        <v>12</v>
      </c>
      <c r="AH9" s="4">
        <f t="shared" si="24"/>
        <v>0.4647</v>
      </c>
      <c r="AI9" s="4">
        <f t="shared" si="25"/>
        <v>0.4647</v>
      </c>
      <c r="AJ9" s="4">
        <f t="shared" si="26"/>
        <v>0.4647</v>
      </c>
      <c r="AK9" s="4">
        <f t="shared" si="27"/>
        <v>0.4647</v>
      </c>
      <c r="AL9" s="4">
        <f t="shared" si="28"/>
        <v>0.4647</v>
      </c>
      <c r="AM9" s="4">
        <f t="shared" si="29"/>
        <v>0.4647</v>
      </c>
      <c r="AO9" s="336">
        <v>12</v>
      </c>
      <c r="AP9" s="4">
        <f t="shared" si="30"/>
        <v>0.4647</v>
      </c>
      <c r="AQ9" s="4">
        <f t="shared" si="30"/>
        <v>0.4647</v>
      </c>
      <c r="AR9" s="4">
        <f t="shared" si="30"/>
        <v>0.4647</v>
      </c>
      <c r="AS9" s="4">
        <f t="shared" si="30"/>
        <v>0.4647</v>
      </c>
      <c r="AT9" s="4">
        <f t="shared" si="30"/>
        <v>0.4647</v>
      </c>
      <c r="AU9" s="4">
        <f t="shared" si="30"/>
        <v>0.4647</v>
      </c>
    </row>
    <row r="10" spans="1:47" ht="15.75" thickBot="1" x14ac:dyDescent="0.3">
      <c r="A10" s="336">
        <v>11</v>
      </c>
      <c r="B10" s="4">
        <f t="shared" si="0"/>
        <v>0.74350000000000005</v>
      </c>
      <c r="C10" s="4">
        <f t="shared" si="1"/>
        <v>0.74350000000000005</v>
      </c>
      <c r="D10" s="4">
        <f t="shared" si="2"/>
        <v>0.74350000000000005</v>
      </c>
      <c r="E10" s="4">
        <f t="shared" si="3"/>
        <v>0.74350000000000005</v>
      </c>
      <c r="F10" s="4">
        <f t="shared" si="4"/>
        <v>0.74350000000000005</v>
      </c>
      <c r="G10" s="4">
        <f t="shared" si="5"/>
        <v>0.74350000000000005</v>
      </c>
      <c r="I10" s="336">
        <v>11</v>
      </c>
      <c r="J10" s="4">
        <f t="shared" si="6"/>
        <v>0.74350000000000005</v>
      </c>
      <c r="K10" s="4">
        <f t="shared" si="7"/>
        <v>0.74350000000000005</v>
      </c>
      <c r="L10" s="4">
        <f t="shared" si="8"/>
        <v>0.74350000000000005</v>
      </c>
      <c r="M10" s="4">
        <f t="shared" si="9"/>
        <v>0.74350000000000005</v>
      </c>
      <c r="N10" s="4">
        <f t="shared" si="10"/>
        <v>0.74350000000000005</v>
      </c>
      <c r="O10" s="4">
        <f t="shared" si="11"/>
        <v>0.74350000000000005</v>
      </c>
      <c r="Q10" s="336">
        <v>11</v>
      </c>
      <c r="R10" s="4">
        <f t="shared" si="12"/>
        <v>0.74350000000000005</v>
      </c>
      <c r="S10" s="4">
        <f t="shared" si="13"/>
        <v>0.74350000000000005</v>
      </c>
      <c r="T10" s="4">
        <f t="shared" si="14"/>
        <v>0.74350000000000005</v>
      </c>
      <c r="U10" s="4">
        <f t="shared" si="15"/>
        <v>0.74350000000000005</v>
      </c>
      <c r="V10" s="4">
        <f t="shared" si="16"/>
        <v>0.74350000000000005</v>
      </c>
      <c r="W10" s="4">
        <f t="shared" si="17"/>
        <v>0.74350000000000005</v>
      </c>
      <c r="Y10" s="336">
        <v>11</v>
      </c>
      <c r="Z10" s="4">
        <f t="shared" si="18"/>
        <v>0.74350000000000005</v>
      </c>
      <c r="AA10" s="4">
        <f t="shared" si="19"/>
        <v>0.74350000000000005</v>
      </c>
      <c r="AB10" s="4">
        <f t="shared" si="20"/>
        <v>0.74350000000000005</v>
      </c>
      <c r="AC10" s="4">
        <f t="shared" si="21"/>
        <v>0.74350000000000005</v>
      </c>
      <c r="AD10" s="4">
        <f t="shared" si="22"/>
        <v>0.74350000000000005</v>
      </c>
      <c r="AE10" s="4">
        <f t="shared" si="23"/>
        <v>0.74350000000000005</v>
      </c>
      <c r="AG10" s="336">
        <v>11</v>
      </c>
      <c r="AH10" s="4">
        <f t="shared" si="24"/>
        <v>0.74350000000000005</v>
      </c>
      <c r="AI10" s="4">
        <f t="shared" si="25"/>
        <v>0.74350000000000005</v>
      </c>
      <c r="AJ10" s="4">
        <f t="shared" si="26"/>
        <v>0.74350000000000005</v>
      </c>
      <c r="AK10" s="4">
        <f t="shared" si="27"/>
        <v>0.74350000000000005</v>
      </c>
      <c r="AL10" s="4">
        <f t="shared" si="28"/>
        <v>0.74350000000000005</v>
      </c>
      <c r="AM10" s="4">
        <f t="shared" si="29"/>
        <v>0.74350000000000005</v>
      </c>
      <c r="AO10" s="336">
        <v>11</v>
      </c>
      <c r="AP10" s="4">
        <f t="shared" si="30"/>
        <v>0.74350000000000005</v>
      </c>
      <c r="AQ10" s="4">
        <f t="shared" si="30"/>
        <v>0.74350000000000005</v>
      </c>
      <c r="AR10" s="4">
        <f t="shared" si="30"/>
        <v>0.74350000000000005</v>
      </c>
      <c r="AS10" s="4">
        <f t="shared" si="30"/>
        <v>0.74350000000000005</v>
      </c>
      <c r="AT10" s="4">
        <f t="shared" si="30"/>
        <v>0.74350000000000005</v>
      </c>
      <c r="AU10" s="4">
        <f t="shared" si="30"/>
        <v>0.74350000000000005</v>
      </c>
    </row>
    <row r="11" spans="1:47" ht="15.75" thickBot="1" x14ac:dyDescent="0.3">
      <c r="A11" s="336">
        <v>10</v>
      </c>
      <c r="B11" s="4">
        <f t="shared" si="0"/>
        <v>0.74350000000000005</v>
      </c>
      <c r="C11" s="4">
        <f t="shared" si="1"/>
        <v>0.74350000000000005</v>
      </c>
      <c r="D11" s="4">
        <f t="shared" si="2"/>
        <v>0.74350000000000005</v>
      </c>
      <c r="E11" s="4">
        <f t="shared" si="3"/>
        <v>0.74350000000000005</v>
      </c>
      <c r="F11" s="4">
        <f t="shared" si="4"/>
        <v>0.74350000000000005</v>
      </c>
      <c r="G11" s="4">
        <f t="shared" si="5"/>
        <v>0.74350000000000005</v>
      </c>
      <c r="I11" s="336">
        <v>10</v>
      </c>
      <c r="J11" s="4">
        <f t="shared" si="6"/>
        <v>0.74350000000000005</v>
      </c>
      <c r="K11" s="4">
        <f t="shared" si="7"/>
        <v>0.74350000000000005</v>
      </c>
      <c r="L11" s="4">
        <f t="shared" si="8"/>
        <v>0.74350000000000005</v>
      </c>
      <c r="M11" s="4">
        <f t="shared" si="9"/>
        <v>0.74350000000000005</v>
      </c>
      <c r="N11" s="4">
        <f t="shared" si="10"/>
        <v>0.74350000000000005</v>
      </c>
      <c r="O11" s="4">
        <f t="shared" si="11"/>
        <v>0.74350000000000005</v>
      </c>
      <c r="Q11" s="336">
        <v>10</v>
      </c>
      <c r="R11" s="4">
        <f t="shared" si="12"/>
        <v>0.74350000000000005</v>
      </c>
      <c r="S11" s="4">
        <f t="shared" si="13"/>
        <v>0.74350000000000005</v>
      </c>
      <c r="T11" s="4">
        <f t="shared" si="14"/>
        <v>0.74350000000000005</v>
      </c>
      <c r="U11" s="4">
        <f t="shared" si="15"/>
        <v>0.74350000000000005</v>
      </c>
      <c r="V11" s="4">
        <f t="shared" si="16"/>
        <v>0.74350000000000005</v>
      </c>
      <c r="W11" s="4">
        <f t="shared" si="17"/>
        <v>0.74350000000000005</v>
      </c>
      <c r="Y11" s="336">
        <v>10</v>
      </c>
      <c r="Z11" s="4">
        <f t="shared" si="18"/>
        <v>0.74350000000000005</v>
      </c>
      <c r="AA11" s="4">
        <f t="shared" si="19"/>
        <v>0.74350000000000005</v>
      </c>
      <c r="AB11" s="4">
        <f t="shared" si="20"/>
        <v>0.74350000000000005</v>
      </c>
      <c r="AC11" s="4">
        <f t="shared" si="21"/>
        <v>0.74350000000000005</v>
      </c>
      <c r="AD11" s="4">
        <f t="shared" si="22"/>
        <v>0.74350000000000005</v>
      </c>
      <c r="AE11" s="4">
        <f t="shared" si="23"/>
        <v>0.74350000000000005</v>
      </c>
      <c r="AG11" s="336">
        <v>10</v>
      </c>
      <c r="AH11" s="4">
        <f t="shared" si="24"/>
        <v>0.74350000000000005</v>
      </c>
      <c r="AI11" s="4">
        <f t="shared" si="25"/>
        <v>0.74350000000000005</v>
      </c>
      <c r="AJ11" s="4">
        <f t="shared" si="26"/>
        <v>0.74350000000000005</v>
      </c>
      <c r="AK11" s="4">
        <f t="shared" si="27"/>
        <v>0.74350000000000005</v>
      </c>
      <c r="AL11" s="4">
        <f t="shared" si="28"/>
        <v>0.74350000000000005</v>
      </c>
      <c r="AM11" s="4">
        <f t="shared" si="29"/>
        <v>0.74350000000000005</v>
      </c>
      <c r="AO11" s="336">
        <v>10</v>
      </c>
      <c r="AP11" s="4">
        <f t="shared" si="30"/>
        <v>0.74350000000000005</v>
      </c>
      <c r="AQ11" s="4">
        <f t="shared" si="30"/>
        <v>0.74350000000000005</v>
      </c>
      <c r="AR11" s="4">
        <f t="shared" si="30"/>
        <v>0.74350000000000005</v>
      </c>
      <c r="AS11" s="4">
        <f t="shared" si="30"/>
        <v>0.74350000000000005</v>
      </c>
      <c r="AT11" s="4">
        <f t="shared" si="30"/>
        <v>0.74350000000000005</v>
      </c>
      <c r="AU11" s="4">
        <f t="shared" si="30"/>
        <v>0.74350000000000005</v>
      </c>
    </row>
    <row r="12" spans="1:47" s="15" customFormat="1" ht="15.75" thickBot="1" x14ac:dyDescent="0.3">
      <c r="A12" s="587" t="s">
        <v>244</v>
      </c>
      <c r="B12" s="4">
        <f t="shared" si="0"/>
        <v>0.74350000000000005</v>
      </c>
      <c r="C12" s="4">
        <f t="shared" si="1"/>
        <v>0.74350000000000005</v>
      </c>
      <c r="D12" s="4">
        <f t="shared" si="2"/>
        <v>0.74350000000000005</v>
      </c>
      <c r="E12" s="4">
        <f t="shared" si="3"/>
        <v>0.74350000000000005</v>
      </c>
      <c r="F12" s="4">
        <f t="shared" si="4"/>
        <v>0.74350000000000005</v>
      </c>
      <c r="G12" s="4">
        <f t="shared" si="5"/>
        <v>0.74350000000000005</v>
      </c>
      <c r="I12" s="587" t="s">
        <v>244</v>
      </c>
      <c r="J12" s="4">
        <f t="shared" si="6"/>
        <v>0.74350000000000005</v>
      </c>
      <c r="K12" s="4">
        <f t="shared" si="7"/>
        <v>0.74350000000000005</v>
      </c>
      <c r="L12" s="4">
        <f t="shared" si="8"/>
        <v>0.74350000000000005</v>
      </c>
      <c r="M12" s="4">
        <f t="shared" si="9"/>
        <v>0.74350000000000005</v>
      </c>
      <c r="N12" s="4">
        <f t="shared" si="10"/>
        <v>0.74350000000000005</v>
      </c>
      <c r="O12" s="4">
        <f t="shared" si="11"/>
        <v>0.74350000000000005</v>
      </c>
      <c r="Q12" s="587" t="s">
        <v>244</v>
      </c>
      <c r="R12" s="4">
        <f t="shared" si="12"/>
        <v>0.74350000000000005</v>
      </c>
      <c r="S12" s="4">
        <f t="shared" si="13"/>
        <v>0.74350000000000005</v>
      </c>
      <c r="T12" s="4">
        <f t="shared" si="14"/>
        <v>0.74350000000000005</v>
      </c>
      <c r="U12" s="4">
        <f t="shared" si="15"/>
        <v>0.74350000000000005</v>
      </c>
      <c r="V12" s="4">
        <f t="shared" si="16"/>
        <v>0.74350000000000005</v>
      </c>
      <c r="W12" s="4">
        <f t="shared" si="17"/>
        <v>0.74350000000000005</v>
      </c>
      <c r="Y12" s="587" t="s">
        <v>244</v>
      </c>
      <c r="Z12" s="4">
        <f t="shared" si="18"/>
        <v>0.74350000000000005</v>
      </c>
      <c r="AA12" s="4">
        <f t="shared" si="19"/>
        <v>0.74350000000000005</v>
      </c>
      <c r="AB12" s="4">
        <f t="shared" si="20"/>
        <v>0.74350000000000005</v>
      </c>
      <c r="AC12" s="4">
        <f t="shared" si="21"/>
        <v>0.74350000000000005</v>
      </c>
      <c r="AD12" s="4">
        <f t="shared" si="22"/>
        <v>0.74350000000000005</v>
      </c>
      <c r="AE12" s="4">
        <f t="shared" si="23"/>
        <v>0.74350000000000005</v>
      </c>
      <c r="AG12" s="587" t="s">
        <v>244</v>
      </c>
      <c r="AH12" s="4">
        <f t="shared" si="24"/>
        <v>0.74350000000000005</v>
      </c>
      <c r="AI12" s="4">
        <f t="shared" si="25"/>
        <v>0.74350000000000005</v>
      </c>
      <c r="AJ12" s="4">
        <f t="shared" si="26"/>
        <v>0.74350000000000005</v>
      </c>
      <c r="AK12" s="4">
        <f t="shared" si="27"/>
        <v>0.74350000000000005</v>
      </c>
      <c r="AL12" s="4">
        <f t="shared" si="28"/>
        <v>0.74350000000000005</v>
      </c>
      <c r="AM12" s="4">
        <f t="shared" si="29"/>
        <v>0.74350000000000005</v>
      </c>
      <c r="AO12" s="587" t="s">
        <v>244</v>
      </c>
      <c r="AP12" s="4">
        <f t="shared" si="30"/>
        <v>0.74350000000000005</v>
      </c>
      <c r="AQ12" s="4">
        <f t="shared" si="30"/>
        <v>0.74350000000000005</v>
      </c>
      <c r="AR12" s="4">
        <f t="shared" si="30"/>
        <v>0.74350000000000005</v>
      </c>
      <c r="AS12" s="4">
        <f t="shared" si="30"/>
        <v>0.74350000000000005</v>
      </c>
      <c r="AT12" s="4">
        <f t="shared" si="30"/>
        <v>0.74350000000000005</v>
      </c>
      <c r="AU12" s="4">
        <f t="shared" si="30"/>
        <v>0.74350000000000005</v>
      </c>
    </row>
    <row r="13" spans="1:47" ht="15.75" thickBot="1" x14ac:dyDescent="0.3">
      <c r="A13" s="587" t="s">
        <v>245</v>
      </c>
      <c r="B13" s="4">
        <f t="shared" si="0"/>
        <v>0.74350000000000005</v>
      </c>
      <c r="C13" s="4">
        <f t="shared" si="1"/>
        <v>0.74350000000000005</v>
      </c>
      <c r="D13" s="4">
        <f t="shared" si="2"/>
        <v>0.74350000000000005</v>
      </c>
      <c r="E13" s="4">
        <f t="shared" si="3"/>
        <v>0.74350000000000005</v>
      </c>
      <c r="F13" s="4">
        <f t="shared" si="4"/>
        <v>0.74350000000000005</v>
      </c>
      <c r="G13" s="4">
        <f t="shared" si="5"/>
        <v>0.74350000000000005</v>
      </c>
      <c r="I13" s="587" t="s">
        <v>245</v>
      </c>
      <c r="J13" s="4">
        <f t="shared" si="6"/>
        <v>0.74350000000000005</v>
      </c>
      <c r="K13" s="4">
        <f t="shared" si="7"/>
        <v>0.74350000000000005</v>
      </c>
      <c r="L13" s="4">
        <f t="shared" si="8"/>
        <v>0.74350000000000005</v>
      </c>
      <c r="M13" s="4">
        <f t="shared" si="9"/>
        <v>0.74350000000000005</v>
      </c>
      <c r="N13" s="4">
        <f t="shared" si="10"/>
        <v>0.74350000000000005</v>
      </c>
      <c r="O13" s="4">
        <f t="shared" si="11"/>
        <v>0.74350000000000005</v>
      </c>
      <c r="Q13" s="587" t="s">
        <v>245</v>
      </c>
      <c r="R13" s="4">
        <f t="shared" si="12"/>
        <v>0.74350000000000005</v>
      </c>
      <c r="S13" s="4">
        <f t="shared" si="13"/>
        <v>0.74350000000000005</v>
      </c>
      <c r="T13" s="4">
        <f t="shared" si="14"/>
        <v>0.74350000000000005</v>
      </c>
      <c r="U13" s="4">
        <f t="shared" si="15"/>
        <v>0.74350000000000005</v>
      </c>
      <c r="V13" s="4">
        <f t="shared" si="16"/>
        <v>0.74350000000000005</v>
      </c>
      <c r="W13" s="4">
        <f t="shared" si="17"/>
        <v>0.74350000000000005</v>
      </c>
      <c r="Y13" s="587" t="s">
        <v>245</v>
      </c>
      <c r="Z13" s="4">
        <f t="shared" si="18"/>
        <v>0.74350000000000005</v>
      </c>
      <c r="AA13" s="4">
        <f t="shared" si="19"/>
        <v>0.74350000000000005</v>
      </c>
      <c r="AB13" s="4">
        <f t="shared" si="20"/>
        <v>0.74350000000000005</v>
      </c>
      <c r="AC13" s="4">
        <f t="shared" si="21"/>
        <v>0.74350000000000005</v>
      </c>
      <c r="AD13" s="4">
        <f t="shared" si="22"/>
        <v>0.74350000000000005</v>
      </c>
      <c r="AE13" s="4">
        <f t="shared" si="23"/>
        <v>0.74350000000000005</v>
      </c>
      <c r="AG13" s="587" t="s">
        <v>245</v>
      </c>
      <c r="AH13" s="4">
        <f t="shared" si="24"/>
        <v>0.74350000000000005</v>
      </c>
      <c r="AI13" s="4">
        <f t="shared" si="25"/>
        <v>0.74350000000000005</v>
      </c>
      <c r="AJ13" s="4">
        <f t="shared" si="26"/>
        <v>0.74350000000000005</v>
      </c>
      <c r="AK13" s="4">
        <f t="shared" si="27"/>
        <v>0.74350000000000005</v>
      </c>
      <c r="AL13" s="4">
        <f t="shared" si="28"/>
        <v>0.74350000000000005</v>
      </c>
      <c r="AM13" s="4">
        <f t="shared" si="29"/>
        <v>0.74350000000000005</v>
      </c>
      <c r="AO13" s="587" t="s">
        <v>245</v>
      </c>
      <c r="AP13" s="4">
        <f t="shared" si="30"/>
        <v>0.74350000000000005</v>
      </c>
      <c r="AQ13" s="4">
        <f t="shared" si="30"/>
        <v>0.74350000000000005</v>
      </c>
      <c r="AR13" s="4">
        <f t="shared" si="30"/>
        <v>0.74350000000000005</v>
      </c>
      <c r="AS13" s="4">
        <f t="shared" si="30"/>
        <v>0.74350000000000005</v>
      </c>
      <c r="AT13" s="4">
        <f t="shared" si="30"/>
        <v>0.74350000000000005</v>
      </c>
      <c r="AU13" s="4">
        <f t="shared" si="30"/>
        <v>0.74350000000000005</v>
      </c>
    </row>
    <row r="14" spans="1:47" ht="15.75" thickBot="1" x14ac:dyDescent="0.3">
      <c r="A14" s="336">
        <v>8</v>
      </c>
      <c r="B14" s="4">
        <f t="shared" si="0"/>
        <v>0.88139999999999996</v>
      </c>
      <c r="C14" s="4">
        <f t="shared" si="1"/>
        <v>0.88139999999999996</v>
      </c>
      <c r="D14" s="4">
        <f t="shared" si="2"/>
        <v>0.88139999999999996</v>
      </c>
      <c r="E14" s="4">
        <f t="shared" si="3"/>
        <v>0.88139999999999996</v>
      </c>
      <c r="F14" s="4">
        <f t="shared" si="4"/>
        <v>0.88139999999999996</v>
      </c>
      <c r="G14" s="4">
        <f t="shared" si="5"/>
        <v>0.88139999999999996</v>
      </c>
      <c r="I14" s="336">
        <v>8</v>
      </c>
      <c r="J14" s="4">
        <f t="shared" si="6"/>
        <v>0.88139999999999996</v>
      </c>
      <c r="K14" s="4">
        <f t="shared" si="7"/>
        <v>0.88139999999999996</v>
      </c>
      <c r="L14" s="4">
        <f t="shared" si="8"/>
        <v>0.88139999999999996</v>
      </c>
      <c r="M14" s="4">
        <f t="shared" si="9"/>
        <v>0.88139999999999996</v>
      </c>
      <c r="N14" s="4">
        <f t="shared" si="10"/>
        <v>0.88139999999999996</v>
      </c>
      <c r="O14" s="4">
        <f t="shared" si="11"/>
        <v>0.88139999999999996</v>
      </c>
      <c r="Q14" s="336">
        <v>8</v>
      </c>
      <c r="R14" s="4">
        <f t="shared" si="12"/>
        <v>0.88139999999999996</v>
      </c>
      <c r="S14" s="4">
        <f t="shared" si="13"/>
        <v>0.88139999999999996</v>
      </c>
      <c r="T14" s="4">
        <f t="shared" si="14"/>
        <v>0.88139999999999996</v>
      </c>
      <c r="U14" s="4">
        <f t="shared" si="15"/>
        <v>0.88139999999999996</v>
      </c>
      <c r="V14" s="4">
        <f t="shared" si="16"/>
        <v>0.88139999999999996</v>
      </c>
      <c r="W14" s="4">
        <f t="shared" si="17"/>
        <v>0.88139999999999996</v>
      </c>
      <c r="Y14" s="336">
        <v>8</v>
      </c>
      <c r="Z14" s="4">
        <f t="shared" si="18"/>
        <v>0.88139999999999996</v>
      </c>
      <c r="AA14" s="4">
        <f t="shared" si="19"/>
        <v>0.88139999999999996</v>
      </c>
      <c r="AB14" s="4">
        <f t="shared" si="20"/>
        <v>0.88139999999999996</v>
      </c>
      <c r="AC14" s="4">
        <f t="shared" si="21"/>
        <v>0.88139999999999996</v>
      </c>
      <c r="AD14" s="4">
        <f t="shared" si="22"/>
        <v>0.88139999999999996</v>
      </c>
      <c r="AE14" s="4">
        <f t="shared" si="23"/>
        <v>0.88139999999999996</v>
      </c>
      <c r="AG14" s="336">
        <v>8</v>
      </c>
      <c r="AH14" s="4">
        <f t="shared" si="24"/>
        <v>0.88139999999999996</v>
      </c>
      <c r="AI14" s="4">
        <f t="shared" si="25"/>
        <v>0.88139999999999996</v>
      </c>
      <c r="AJ14" s="4">
        <f t="shared" si="26"/>
        <v>0.88139999999999996</v>
      </c>
      <c r="AK14" s="4">
        <f t="shared" si="27"/>
        <v>0.88139999999999996</v>
      </c>
      <c r="AL14" s="4">
        <f t="shared" si="28"/>
        <v>0.88139999999999996</v>
      </c>
      <c r="AM14" s="4">
        <f t="shared" si="29"/>
        <v>0.88139999999999996</v>
      </c>
      <c r="AO14" s="336">
        <v>8</v>
      </c>
      <c r="AP14" s="4">
        <f t="shared" ref="AP14:AU22" si="31">IF($AU$1=$AO$157,AP169,IF($AU$1=$AO$135,AP147,IF($AU$1=$AO$112,AP124,IF($AU$1=$AO$89,AP101,AP78))))</f>
        <v>0.88139999999999996</v>
      </c>
      <c r="AQ14" s="4">
        <f t="shared" si="31"/>
        <v>0.88139999999999996</v>
      </c>
      <c r="AR14" s="4">
        <f t="shared" si="31"/>
        <v>0.88139999999999996</v>
      </c>
      <c r="AS14" s="4">
        <f t="shared" si="31"/>
        <v>0.88139999999999996</v>
      </c>
      <c r="AT14" s="4">
        <f t="shared" si="31"/>
        <v>0.88139999999999996</v>
      </c>
      <c r="AU14" s="4">
        <f t="shared" si="31"/>
        <v>0.88139999999999996</v>
      </c>
    </row>
    <row r="15" spans="1:47" ht="15.75" thickBot="1" x14ac:dyDescent="0.3">
      <c r="A15" s="336">
        <v>7</v>
      </c>
      <c r="B15" s="4">
        <f t="shared" si="0"/>
        <v>0.88139999999999996</v>
      </c>
      <c r="C15" s="4">
        <f t="shared" si="1"/>
        <v>0.88139999999999996</v>
      </c>
      <c r="D15" s="4">
        <f t="shared" si="2"/>
        <v>0.88139999999999996</v>
      </c>
      <c r="E15" s="4">
        <f t="shared" si="3"/>
        <v>0.88139999999999996</v>
      </c>
      <c r="F15" s="4">
        <f t="shared" si="4"/>
        <v>0.88139999999999996</v>
      </c>
      <c r="G15" s="4">
        <f t="shared" si="5"/>
        <v>0.88139999999999996</v>
      </c>
      <c r="I15" s="336">
        <v>7</v>
      </c>
      <c r="J15" s="4">
        <f t="shared" si="6"/>
        <v>0.88139999999999996</v>
      </c>
      <c r="K15" s="4">
        <f t="shared" si="7"/>
        <v>0.88139999999999996</v>
      </c>
      <c r="L15" s="4">
        <f t="shared" si="8"/>
        <v>0.88139999999999996</v>
      </c>
      <c r="M15" s="4">
        <f t="shared" si="9"/>
        <v>0.88139999999999996</v>
      </c>
      <c r="N15" s="4">
        <f t="shared" si="10"/>
        <v>0.88139999999999996</v>
      </c>
      <c r="O15" s="4">
        <f t="shared" si="11"/>
        <v>0.88139999999999996</v>
      </c>
      <c r="Q15" s="336">
        <v>7</v>
      </c>
      <c r="R15" s="4">
        <f t="shared" si="12"/>
        <v>0.88139999999999996</v>
      </c>
      <c r="S15" s="4">
        <f t="shared" si="13"/>
        <v>0.88139999999999996</v>
      </c>
      <c r="T15" s="4">
        <f t="shared" si="14"/>
        <v>0.88139999999999996</v>
      </c>
      <c r="U15" s="4">
        <f t="shared" si="15"/>
        <v>0.88139999999999996</v>
      </c>
      <c r="V15" s="4">
        <f t="shared" si="16"/>
        <v>0.88139999999999996</v>
      </c>
      <c r="W15" s="4">
        <f t="shared" si="17"/>
        <v>0.88139999999999996</v>
      </c>
      <c r="Y15" s="336">
        <v>7</v>
      </c>
      <c r="Z15" s="4">
        <f t="shared" si="18"/>
        <v>0.88139999999999996</v>
      </c>
      <c r="AA15" s="4">
        <f t="shared" si="19"/>
        <v>0.88139999999999996</v>
      </c>
      <c r="AB15" s="4">
        <f t="shared" si="20"/>
        <v>0.88139999999999996</v>
      </c>
      <c r="AC15" s="4">
        <f t="shared" si="21"/>
        <v>0.88139999999999996</v>
      </c>
      <c r="AD15" s="4">
        <f t="shared" si="22"/>
        <v>0.88139999999999996</v>
      </c>
      <c r="AE15" s="4">
        <f t="shared" si="23"/>
        <v>0.88139999999999996</v>
      </c>
      <c r="AG15" s="336">
        <v>7</v>
      </c>
      <c r="AH15" s="4">
        <f t="shared" si="24"/>
        <v>0.88139999999999996</v>
      </c>
      <c r="AI15" s="4">
        <f t="shared" si="25"/>
        <v>0.88139999999999996</v>
      </c>
      <c r="AJ15" s="4">
        <f t="shared" si="26"/>
        <v>0.88139999999999996</v>
      </c>
      <c r="AK15" s="4">
        <f t="shared" si="27"/>
        <v>0.88139999999999996</v>
      </c>
      <c r="AL15" s="4">
        <f t="shared" si="28"/>
        <v>0.88139999999999996</v>
      </c>
      <c r="AM15" s="4">
        <f t="shared" si="29"/>
        <v>0.88139999999999996</v>
      </c>
      <c r="AO15" s="336">
        <v>7</v>
      </c>
      <c r="AP15" s="4">
        <f t="shared" si="31"/>
        <v>0.88139999999999996</v>
      </c>
      <c r="AQ15" s="4">
        <f t="shared" si="31"/>
        <v>0.88139999999999996</v>
      </c>
      <c r="AR15" s="4">
        <f t="shared" si="31"/>
        <v>0.88139999999999996</v>
      </c>
      <c r="AS15" s="4">
        <f t="shared" si="31"/>
        <v>0.88139999999999996</v>
      </c>
      <c r="AT15" s="4">
        <f t="shared" si="31"/>
        <v>0.88139999999999996</v>
      </c>
      <c r="AU15" s="4">
        <f t="shared" si="31"/>
        <v>0.88139999999999996</v>
      </c>
    </row>
    <row r="16" spans="1:47" ht="15.75" thickBot="1" x14ac:dyDescent="0.3">
      <c r="A16" s="336">
        <v>6</v>
      </c>
      <c r="B16" s="4">
        <f t="shared" si="0"/>
        <v>0.88139999999999996</v>
      </c>
      <c r="C16" s="4">
        <f t="shared" si="1"/>
        <v>0.88139999999999996</v>
      </c>
      <c r="D16" s="4">
        <f t="shared" si="2"/>
        <v>0.88139999999999996</v>
      </c>
      <c r="E16" s="4">
        <f t="shared" si="3"/>
        <v>0.88139999999999996</v>
      </c>
      <c r="F16" s="4">
        <f t="shared" si="4"/>
        <v>0.88139999999999996</v>
      </c>
      <c r="G16" s="4">
        <f t="shared" si="5"/>
        <v>0.88139999999999996</v>
      </c>
      <c r="I16" s="336">
        <v>6</v>
      </c>
      <c r="J16" s="4">
        <f t="shared" si="6"/>
        <v>0.88139999999999996</v>
      </c>
      <c r="K16" s="4">
        <f t="shared" si="7"/>
        <v>0.88139999999999996</v>
      </c>
      <c r="L16" s="4">
        <f t="shared" si="8"/>
        <v>0.88139999999999996</v>
      </c>
      <c r="M16" s="4">
        <f t="shared" si="9"/>
        <v>0.88139999999999996</v>
      </c>
      <c r="N16" s="4">
        <f t="shared" si="10"/>
        <v>0.88139999999999996</v>
      </c>
      <c r="O16" s="4">
        <f t="shared" si="11"/>
        <v>0.88139999999999996</v>
      </c>
      <c r="Q16" s="336">
        <v>6</v>
      </c>
      <c r="R16" s="4">
        <f t="shared" si="12"/>
        <v>0.88139999999999996</v>
      </c>
      <c r="S16" s="4">
        <f t="shared" si="13"/>
        <v>0.88139999999999996</v>
      </c>
      <c r="T16" s="4">
        <f t="shared" si="14"/>
        <v>0.88139999999999996</v>
      </c>
      <c r="U16" s="4">
        <f t="shared" si="15"/>
        <v>0.88139999999999996</v>
      </c>
      <c r="V16" s="4">
        <f t="shared" si="16"/>
        <v>0.88139999999999996</v>
      </c>
      <c r="W16" s="4">
        <f t="shared" si="17"/>
        <v>0.88139999999999996</v>
      </c>
      <c r="Y16" s="336">
        <v>6</v>
      </c>
      <c r="Z16" s="4">
        <f t="shared" si="18"/>
        <v>0.88139999999999996</v>
      </c>
      <c r="AA16" s="4">
        <f t="shared" si="19"/>
        <v>0.88139999999999996</v>
      </c>
      <c r="AB16" s="4">
        <f t="shared" si="20"/>
        <v>0.88139999999999996</v>
      </c>
      <c r="AC16" s="4">
        <f t="shared" si="21"/>
        <v>0.88139999999999996</v>
      </c>
      <c r="AD16" s="4">
        <f t="shared" si="22"/>
        <v>0.88139999999999996</v>
      </c>
      <c r="AE16" s="4">
        <f t="shared" si="23"/>
        <v>0.88139999999999996</v>
      </c>
      <c r="AG16" s="336">
        <v>6</v>
      </c>
      <c r="AH16" s="4">
        <f t="shared" si="24"/>
        <v>0.88139999999999996</v>
      </c>
      <c r="AI16" s="4">
        <f t="shared" si="25"/>
        <v>0.88139999999999996</v>
      </c>
      <c r="AJ16" s="4">
        <f t="shared" si="26"/>
        <v>0.88139999999999996</v>
      </c>
      <c r="AK16" s="4">
        <f t="shared" si="27"/>
        <v>0.88139999999999996</v>
      </c>
      <c r="AL16" s="4">
        <f t="shared" si="28"/>
        <v>0.88139999999999996</v>
      </c>
      <c r="AM16" s="4">
        <f t="shared" si="29"/>
        <v>0.88139999999999996</v>
      </c>
      <c r="AO16" s="336">
        <v>6</v>
      </c>
      <c r="AP16" s="4">
        <f t="shared" si="31"/>
        <v>0.88139999999999996</v>
      </c>
      <c r="AQ16" s="4">
        <f t="shared" si="31"/>
        <v>0.88139999999999996</v>
      </c>
      <c r="AR16" s="4">
        <f t="shared" si="31"/>
        <v>0.88139999999999996</v>
      </c>
      <c r="AS16" s="4">
        <f t="shared" si="31"/>
        <v>0.88139999999999996</v>
      </c>
      <c r="AT16" s="4">
        <f t="shared" si="31"/>
        <v>0.88139999999999996</v>
      </c>
      <c r="AU16" s="4">
        <f t="shared" si="31"/>
        <v>0.88139999999999996</v>
      </c>
    </row>
    <row r="17" spans="1:47" ht="15.75" thickBot="1" x14ac:dyDescent="0.3">
      <c r="A17" s="336">
        <v>5</v>
      </c>
      <c r="B17" s="4">
        <f t="shared" si="0"/>
        <v>0.88139999999999996</v>
      </c>
      <c r="C17" s="4">
        <f t="shared" si="1"/>
        <v>0.88139999999999996</v>
      </c>
      <c r="D17" s="4">
        <f t="shared" si="2"/>
        <v>0.88139999999999996</v>
      </c>
      <c r="E17" s="4">
        <f t="shared" si="3"/>
        <v>0.88139999999999996</v>
      </c>
      <c r="F17" s="4">
        <f t="shared" si="4"/>
        <v>0.88139999999999996</v>
      </c>
      <c r="G17" s="4">
        <f t="shared" si="5"/>
        <v>0.88139999999999996</v>
      </c>
      <c r="I17" s="336">
        <v>5</v>
      </c>
      <c r="J17" s="4">
        <f t="shared" si="6"/>
        <v>0.88139999999999996</v>
      </c>
      <c r="K17" s="4">
        <f t="shared" si="7"/>
        <v>0.88139999999999996</v>
      </c>
      <c r="L17" s="4">
        <f t="shared" si="8"/>
        <v>0.88139999999999996</v>
      </c>
      <c r="M17" s="4">
        <f t="shared" si="9"/>
        <v>0.88139999999999996</v>
      </c>
      <c r="N17" s="4">
        <f t="shared" si="10"/>
        <v>0.88139999999999996</v>
      </c>
      <c r="O17" s="4">
        <f t="shared" si="11"/>
        <v>0.88139999999999996</v>
      </c>
      <c r="Q17" s="336">
        <v>5</v>
      </c>
      <c r="R17" s="4">
        <f t="shared" si="12"/>
        <v>0.88139999999999996</v>
      </c>
      <c r="S17" s="4">
        <f t="shared" si="13"/>
        <v>0.88139999999999996</v>
      </c>
      <c r="T17" s="4">
        <f t="shared" si="14"/>
        <v>0.88139999999999996</v>
      </c>
      <c r="U17" s="4">
        <f t="shared" si="15"/>
        <v>0.88139999999999996</v>
      </c>
      <c r="V17" s="4">
        <f t="shared" si="16"/>
        <v>0.88139999999999996</v>
      </c>
      <c r="W17" s="4">
        <f t="shared" si="17"/>
        <v>0.88139999999999996</v>
      </c>
      <c r="Y17" s="336">
        <v>5</v>
      </c>
      <c r="Z17" s="4">
        <f t="shared" si="18"/>
        <v>0.88139999999999996</v>
      </c>
      <c r="AA17" s="4">
        <f t="shared" si="19"/>
        <v>0.88139999999999996</v>
      </c>
      <c r="AB17" s="4">
        <f t="shared" si="20"/>
        <v>0.88139999999999996</v>
      </c>
      <c r="AC17" s="4">
        <f t="shared" si="21"/>
        <v>0.88139999999999996</v>
      </c>
      <c r="AD17" s="4">
        <f t="shared" si="22"/>
        <v>0.88139999999999996</v>
      </c>
      <c r="AE17" s="4">
        <f t="shared" si="23"/>
        <v>0.88139999999999996</v>
      </c>
      <c r="AG17" s="336">
        <v>5</v>
      </c>
      <c r="AH17" s="4">
        <f t="shared" si="24"/>
        <v>0.88139999999999996</v>
      </c>
      <c r="AI17" s="4">
        <f t="shared" si="25"/>
        <v>0.88139999999999996</v>
      </c>
      <c r="AJ17" s="4">
        <f t="shared" si="26"/>
        <v>0.88139999999999996</v>
      </c>
      <c r="AK17" s="4">
        <f t="shared" si="27"/>
        <v>0.88139999999999996</v>
      </c>
      <c r="AL17" s="4">
        <f t="shared" si="28"/>
        <v>0.88139999999999996</v>
      </c>
      <c r="AM17" s="4">
        <f t="shared" si="29"/>
        <v>0.88139999999999996</v>
      </c>
      <c r="AO17" s="336">
        <v>5</v>
      </c>
      <c r="AP17" s="4">
        <f t="shared" si="31"/>
        <v>0.88139999999999996</v>
      </c>
      <c r="AQ17" s="4">
        <f t="shared" si="31"/>
        <v>0.88139999999999996</v>
      </c>
      <c r="AR17" s="4">
        <f t="shared" si="31"/>
        <v>0.88139999999999996</v>
      </c>
      <c r="AS17" s="4">
        <f t="shared" si="31"/>
        <v>0.88139999999999996</v>
      </c>
      <c r="AT17" s="4">
        <f t="shared" si="31"/>
        <v>0.88139999999999996</v>
      </c>
      <c r="AU17" s="4">
        <f t="shared" si="31"/>
        <v>0.88139999999999996</v>
      </c>
    </row>
    <row r="18" spans="1:47" ht="15.75" thickBot="1" x14ac:dyDescent="0.3">
      <c r="A18" s="336">
        <v>4</v>
      </c>
      <c r="B18" s="4">
        <f t="shared" si="0"/>
        <v>0.87429999999999997</v>
      </c>
      <c r="C18" s="4">
        <f t="shared" si="1"/>
        <v>0.87429999999999997</v>
      </c>
      <c r="D18" s="4">
        <f t="shared" si="2"/>
        <v>0.87429999999999997</v>
      </c>
      <c r="E18" s="4">
        <f t="shared" si="3"/>
        <v>0.87429999999999997</v>
      </c>
      <c r="F18" s="4">
        <f t="shared" si="4"/>
        <v>0.87429999999999997</v>
      </c>
      <c r="G18" s="4">
        <f t="shared" si="5"/>
        <v>0.87429999999999997</v>
      </c>
      <c r="I18" s="336">
        <v>4</v>
      </c>
      <c r="J18" s="4">
        <f t="shared" si="6"/>
        <v>0.87429999999999997</v>
      </c>
      <c r="K18" s="4">
        <f t="shared" si="7"/>
        <v>0.87429999999999997</v>
      </c>
      <c r="L18" s="4">
        <f t="shared" si="8"/>
        <v>0.87429999999999997</v>
      </c>
      <c r="M18" s="4">
        <f t="shared" si="9"/>
        <v>0.87429999999999997</v>
      </c>
      <c r="N18" s="4">
        <f t="shared" si="10"/>
        <v>0.87429999999999997</v>
      </c>
      <c r="O18" s="4">
        <f t="shared" si="11"/>
        <v>0.87429999999999997</v>
      </c>
      <c r="Q18" s="336">
        <v>4</v>
      </c>
      <c r="R18" s="4">
        <f t="shared" si="12"/>
        <v>0.87429999999999997</v>
      </c>
      <c r="S18" s="4">
        <f t="shared" si="13"/>
        <v>0.87429999999999997</v>
      </c>
      <c r="T18" s="4">
        <f t="shared" si="14"/>
        <v>0.87429999999999997</v>
      </c>
      <c r="U18" s="4">
        <f t="shared" si="15"/>
        <v>0.87429999999999997</v>
      </c>
      <c r="V18" s="4">
        <f t="shared" si="16"/>
        <v>0.87429999999999997</v>
      </c>
      <c r="W18" s="4">
        <f t="shared" si="17"/>
        <v>0.87429999999999997</v>
      </c>
      <c r="Y18" s="336">
        <v>4</v>
      </c>
      <c r="Z18" s="4">
        <f t="shared" si="18"/>
        <v>0.87429999999999997</v>
      </c>
      <c r="AA18" s="4">
        <f t="shared" si="19"/>
        <v>0.87429999999999997</v>
      </c>
      <c r="AB18" s="4">
        <f t="shared" si="20"/>
        <v>0.87429999999999997</v>
      </c>
      <c r="AC18" s="4">
        <f t="shared" si="21"/>
        <v>0.87429999999999997</v>
      </c>
      <c r="AD18" s="4">
        <f t="shared" si="22"/>
        <v>0.87429999999999997</v>
      </c>
      <c r="AE18" s="4">
        <f t="shared" si="23"/>
        <v>0.87429999999999997</v>
      </c>
      <c r="AG18" s="336">
        <v>4</v>
      </c>
      <c r="AH18" s="4">
        <f t="shared" si="24"/>
        <v>0.87429999999999997</v>
      </c>
      <c r="AI18" s="4">
        <f t="shared" si="25"/>
        <v>0.87429999999999997</v>
      </c>
      <c r="AJ18" s="4">
        <f t="shared" si="26"/>
        <v>0.87429999999999997</v>
      </c>
      <c r="AK18" s="4">
        <f t="shared" si="27"/>
        <v>0.87429999999999997</v>
      </c>
      <c r="AL18" s="4">
        <f t="shared" si="28"/>
        <v>0.87429999999999997</v>
      </c>
      <c r="AM18" s="4">
        <f t="shared" si="29"/>
        <v>0.87429999999999997</v>
      </c>
      <c r="AO18" s="336">
        <v>4</v>
      </c>
      <c r="AP18" s="4">
        <f t="shared" si="31"/>
        <v>0.87429999999999997</v>
      </c>
      <c r="AQ18" s="4">
        <f t="shared" si="31"/>
        <v>0.87429999999999997</v>
      </c>
      <c r="AR18" s="4">
        <f t="shared" si="31"/>
        <v>0.87429999999999997</v>
      </c>
      <c r="AS18" s="4">
        <f t="shared" si="31"/>
        <v>0.87429999999999997</v>
      </c>
      <c r="AT18" s="4">
        <f t="shared" si="31"/>
        <v>0.87429999999999997</v>
      </c>
      <c r="AU18" s="4">
        <f t="shared" si="31"/>
        <v>0.87429999999999997</v>
      </c>
    </row>
    <row r="19" spans="1:47" ht="15.75" thickBot="1" x14ac:dyDescent="0.3">
      <c r="A19" s="336">
        <v>3</v>
      </c>
      <c r="B19" s="4">
        <f t="shared" si="0"/>
        <v>0.87429999999999997</v>
      </c>
      <c r="C19" s="4">
        <f t="shared" si="1"/>
        <v>0.87429999999999997</v>
      </c>
      <c r="D19" s="4">
        <f t="shared" si="2"/>
        <v>0.87429999999999997</v>
      </c>
      <c r="E19" s="4">
        <f t="shared" si="3"/>
        <v>0.87429999999999997</v>
      </c>
      <c r="F19" s="4">
        <f t="shared" si="4"/>
        <v>0.87429999999999997</v>
      </c>
      <c r="G19" s="4">
        <f t="shared" si="5"/>
        <v>0.87429999999999997</v>
      </c>
      <c r="I19" s="336">
        <v>3</v>
      </c>
      <c r="J19" s="4">
        <f t="shared" si="6"/>
        <v>0.87429999999999997</v>
      </c>
      <c r="K19" s="4">
        <f t="shared" si="7"/>
        <v>0.87429999999999997</v>
      </c>
      <c r="L19" s="4">
        <f t="shared" si="8"/>
        <v>0.87429999999999997</v>
      </c>
      <c r="M19" s="4">
        <f t="shared" si="9"/>
        <v>0.87429999999999997</v>
      </c>
      <c r="N19" s="4">
        <f t="shared" si="10"/>
        <v>0.87429999999999997</v>
      </c>
      <c r="O19" s="4">
        <f t="shared" si="11"/>
        <v>0.87429999999999997</v>
      </c>
      <c r="Q19" s="336">
        <v>3</v>
      </c>
      <c r="R19" s="4">
        <f t="shared" si="12"/>
        <v>0.87429999999999997</v>
      </c>
      <c r="S19" s="4">
        <f t="shared" si="13"/>
        <v>0.87429999999999997</v>
      </c>
      <c r="T19" s="4">
        <f t="shared" si="14"/>
        <v>0.87429999999999997</v>
      </c>
      <c r="U19" s="4">
        <f t="shared" si="15"/>
        <v>0.87429999999999997</v>
      </c>
      <c r="V19" s="4">
        <f t="shared" si="16"/>
        <v>0.87429999999999997</v>
      </c>
      <c r="W19" s="4">
        <f t="shared" si="17"/>
        <v>0.87429999999999997</v>
      </c>
      <c r="Y19" s="336">
        <v>3</v>
      </c>
      <c r="Z19" s="4">
        <f t="shared" si="18"/>
        <v>0.87429999999999997</v>
      </c>
      <c r="AA19" s="4">
        <f t="shared" si="19"/>
        <v>0.87429999999999997</v>
      </c>
      <c r="AB19" s="4">
        <f t="shared" si="20"/>
        <v>0.87429999999999997</v>
      </c>
      <c r="AC19" s="4">
        <f t="shared" si="21"/>
        <v>0.87429999999999997</v>
      </c>
      <c r="AD19" s="4">
        <f t="shared" si="22"/>
        <v>0.87429999999999997</v>
      </c>
      <c r="AE19" s="4">
        <f t="shared" si="23"/>
        <v>0.87429999999999997</v>
      </c>
      <c r="AG19" s="336">
        <v>3</v>
      </c>
      <c r="AH19" s="4">
        <f t="shared" si="24"/>
        <v>0.87429999999999997</v>
      </c>
      <c r="AI19" s="4">
        <f t="shared" si="25"/>
        <v>0.87429999999999997</v>
      </c>
      <c r="AJ19" s="4">
        <f t="shared" si="26"/>
        <v>0.87429999999999997</v>
      </c>
      <c r="AK19" s="4">
        <f t="shared" si="27"/>
        <v>0.87429999999999997</v>
      </c>
      <c r="AL19" s="4">
        <f t="shared" si="28"/>
        <v>0.87429999999999997</v>
      </c>
      <c r="AM19" s="4">
        <f t="shared" si="29"/>
        <v>0.87429999999999997</v>
      </c>
      <c r="AO19" s="336">
        <v>3</v>
      </c>
      <c r="AP19" s="4">
        <f t="shared" si="31"/>
        <v>0.87429999999999997</v>
      </c>
      <c r="AQ19" s="4">
        <f t="shared" si="31"/>
        <v>0.87429999999999997</v>
      </c>
      <c r="AR19" s="4">
        <f t="shared" si="31"/>
        <v>0.87429999999999997</v>
      </c>
      <c r="AS19" s="4">
        <f t="shared" si="31"/>
        <v>0.87429999999999997</v>
      </c>
      <c r="AT19" s="4">
        <f t="shared" si="31"/>
        <v>0.87429999999999997</v>
      </c>
      <c r="AU19" s="4">
        <f t="shared" si="31"/>
        <v>0.87429999999999997</v>
      </c>
    </row>
    <row r="20" spans="1:47" ht="15.75" thickBot="1" x14ac:dyDescent="0.3">
      <c r="A20" s="336" t="s">
        <v>248</v>
      </c>
      <c r="B20" s="4">
        <f t="shared" si="0"/>
        <v>0.87429999999999997</v>
      </c>
      <c r="C20" s="4">
        <f t="shared" si="1"/>
        <v>0.87429999999999997</v>
      </c>
      <c r="D20" s="4">
        <f t="shared" si="2"/>
        <v>0.87429999999999997</v>
      </c>
      <c r="E20" s="4">
        <f t="shared" si="3"/>
        <v>0.87429999999999997</v>
      </c>
      <c r="F20" s="4">
        <f t="shared" si="4"/>
        <v>0.87429999999999997</v>
      </c>
      <c r="G20" s="4">
        <f t="shared" si="5"/>
        <v>0.87429999999999997</v>
      </c>
      <c r="I20" s="336" t="s">
        <v>248</v>
      </c>
      <c r="J20" s="4">
        <f t="shared" si="6"/>
        <v>0.87429999999999997</v>
      </c>
      <c r="K20" s="4">
        <f t="shared" si="7"/>
        <v>0.87429999999999997</v>
      </c>
      <c r="L20" s="4">
        <f t="shared" si="8"/>
        <v>0.87429999999999997</v>
      </c>
      <c r="M20" s="4">
        <f t="shared" si="9"/>
        <v>0.87429999999999997</v>
      </c>
      <c r="N20" s="4">
        <f t="shared" si="10"/>
        <v>0.87429999999999997</v>
      </c>
      <c r="O20" s="4">
        <f t="shared" si="11"/>
        <v>0.87429999999999997</v>
      </c>
      <c r="Q20" s="336" t="s">
        <v>248</v>
      </c>
      <c r="R20" s="4">
        <f t="shared" si="12"/>
        <v>0.87429999999999997</v>
      </c>
      <c r="S20" s="4">
        <f t="shared" si="13"/>
        <v>0.87429999999999997</v>
      </c>
      <c r="T20" s="4">
        <f t="shared" si="14"/>
        <v>0.87429999999999997</v>
      </c>
      <c r="U20" s="4">
        <f t="shared" si="15"/>
        <v>0.87429999999999997</v>
      </c>
      <c r="V20" s="4">
        <f t="shared" si="16"/>
        <v>0.87429999999999997</v>
      </c>
      <c r="W20" s="4">
        <f t="shared" si="17"/>
        <v>0.87429999999999997</v>
      </c>
      <c r="Y20" s="336" t="s">
        <v>248</v>
      </c>
      <c r="Z20" s="4">
        <f t="shared" si="18"/>
        <v>0.87429999999999997</v>
      </c>
      <c r="AA20" s="4">
        <f t="shared" si="19"/>
        <v>0.87429999999999997</v>
      </c>
      <c r="AB20" s="4">
        <f t="shared" si="20"/>
        <v>0.87429999999999997</v>
      </c>
      <c r="AC20" s="4">
        <f t="shared" si="21"/>
        <v>0.87429999999999997</v>
      </c>
      <c r="AD20" s="4">
        <f t="shared" si="22"/>
        <v>0.87429999999999997</v>
      </c>
      <c r="AE20" s="4">
        <f t="shared" si="23"/>
        <v>0.87429999999999997</v>
      </c>
      <c r="AG20" s="336" t="s">
        <v>248</v>
      </c>
      <c r="AH20" s="4">
        <f t="shared" si="24"/>
        <v>0.87429999999999997</v>
      </c>
      <c r="AI20" s="4">
        <f t="shared" si="25"/>
        <v>0.87429999999999997</v>
      </c>
      <c r="AJ20" s="4">
        <f t="shared" si="26"/>
        <v>0.87429999999999997</v>
      </c>
      <c r="AK20" s="4">
        <f t="shared" si="27"/>
        <v>0.87429999999999997</v>
      </c>
      <c r="AL20" s="4">
        <f t="shared" si="28"/>
        <v>0.87429999999999997</v>
      </c>
      <c r="AM20" s="4">
        <f t="shared" si="29"/>
        <v>0.87429999999999997</v>
      </c>
      <c r="AO20" s="336" t="s">
        <v>248</v>
      </c>
      <c r="AP20" s="4">
        <f t="shared" si="31"/>
        <v>0.87429999999999997</v>
      </c>
      <c r="AQ20" s="4">
        <f t="shared" si="31"/>
        <v>0.87429999999999997</v>
      </c>
      <c r="AR20" s="4">
        <f t="shared" si="31"/>
        <v>0.87429999999999997</v>
      </c>
      <c r="AS20" s="4">
        <f t="shared" si="31"/>
        <v>0.87429999999999997</v>
      </c>
      <c r="AT20" s="4">
        <f t="shared" si="31"/>
        <v>0.87429999999999997</v>
      </c>
      <c r="AU20" s="4">
        <f t="shared" si="31"/>
        <v>0.87429999999999997</v>
      </c>
    </row>
    <row r="21" spans="1:47" ht="15.75" thickBot="1" x14ac:dyDescent="0.3">
      <c r="A21" s="336">
        <v>2</v>
      </c>
      <c r="B21" s="4">
        <f t="shared" si="0"/>
        <v>0.87429999999999997</v>
      </c>
      <c r="C21" s="4">
        <f t="shared" si="1"/>
        <v>0.87429999999999997</v>
      </c>
      <c r="D21" s="4">
        <f t="shared" si="2"/>
        <v>0.87429999999999997</v>
      </c>
      <c r="E21" s="4">
        <f t="shared" si="3"/>
        <v>0.87429999999999997</v>
      </c>
      <c r="F21" s="4">
        <f t="shared" si="4"/>
        <v>0.87429999999999997</v>
      </c>
      <c r="G21" s="4">
        <f t="shared" si="5"/>
        <v>0.87429999999999997</v>
      </c>
      <c r="I21" s="336">
        <v>2</v>
      </c>
      <c r="J21" s="4">
        <f t="shared" si="6"/>
        <v>0.87429999999999997</v>
      </c>
      <c r="K21" s="4">
        <f t="shared" si="7"/>
        <v>0.87429999999999997</v>
      </c>
      <c r="L21" s="4">
        <f t="shared" si="8"/>
        <v>0.87429999999999997</v>
      </c>
      <c r="M21" s="4">
        <f t="shared" si="9"/>
        <v>0.87429999999999997</v>
      </c>
      <c r="N21" s="4">
        <f t="shared" si="10"/>
        <v>0.87429999999999997</v>
      </c>
      <c r="O21" s="4">
        <f t="shared" si="11"/>
        <v>0.87429999999999997</v>
      </c>
      <c r="Q21" s="336">
        <v>2</v>
      </c>
      <c r="R21" s="4">
        <f t="shared" si="12"/>
        <v>0.87429999999999997</v>
      </c>
      <c r="S21" s="4">
        <f t="shared" si="13"/>
        <v>0.87429999999999997</v>
      </c>
      <c r="T21" s="4">
        <f t="shared" si="14"/>
        <v>0.87429999999999997</v>
      </c>
      <c r="U21" s="4">
        <f t="shared" si="15"/>
        <v>0.87429999999999997</v>
      </c>
      <c r="V21" s="4">
        <f t="shared" si="16"/>
        <v>0.87429999999999997</v>
      </c>
      <c r="W21" s="4">
        <f t="shared" si="17"/>
        <v>0.87429999999999997</v>
      </c>
      <c r="Y21" s="336">
        <v>2</v>
      </c>
      <c r="Z21" s="4">
        <f t="shared" si="18"/>
        <v>0.87429999999999997</v>
      </c>
      <c r="AA21" s="4">
        <f t="shared" si="19"/>
        <v>0.87429999999999997</v>
      </c>
      <c r="AB21" s="4">
        <f t="shared" si="20"/>
        <v>0.87429999999999997</v>
      </c>
      <c r="AC21" s="4">
        <f t="shared" si="21"/>
        <v>0.87429999999999997</v>
      </c>
      <c r="AD21" s="4">
        <f t="shared" si="22"/>
        <v>0.87429999999999997</v>
      </c>
      <c r="AE21" s="4">
        <f t="shared" si="23"/>
        <v>0.87429999999999997</v>
      </c>
      <c r="AG21" s="336">
        <v>2</v>
      </c>
      <c r="AH21" s="4">
        <f t="shared" si="24"/>
        <v>0.87429999999999997</v>
      </c>
      <c r="AI21" s="4">
        <f t="shared" si="25"/>
        <v>0.87429999999999997</v>
      </c>
      <c r="AJ21" s="4">
        <f t="shared" si="26"/>
        <v>0.87429999999999997</v>
      </c>
      <c r="AK21" s="4">
        <f t="shared" si="27"/>
        <v>0.87429999999999997</v>
      </c>
      <c r="AL21" s="4">
        <f t="shared" si="28"/>
        <v>0.87429999999999997</v>
      </c>
      <c r="AM21" s="4">
        <f t="shared" si="29"/>
        <v>0.87429999999999997</v>
      </c>
      <c r="AO21" s="336">
        <v>2</v>
      </c>
      <c r="AP21" s="4">
        <f t="shared" si="31"/>
        <v>0.87429999999999997</v>
      </c>
      <c r="AQ21" s="4">
        <f t="shared" si="31"/>
        <v>0.87429999999999997</v>
      </c>
      <c r="AR21" s="4">
        <f t="shared" si="31"/>
        <v>0.87429999999999997</v>
      </c>
      <c r="AS21" s="4">
        <f t="shared" si="31"/>
        <v>0.87429999999999997</v>
      </c>
      <c r="AT21" s="4">
        <f t="shared" si="31"/>
        <v>0.87429999999999997</v>
      </c>
      <c r="AU21" s="4">
        <f t="shared" si="31"/>
        <v>0.87429999999999997</v>
      </c>
    </row>
    <row r="22" spans="1:47" ht="15.75" thickBot="1" x14ac:dyDescent="0.3">
      <c r="A22" s="336">
        <v>1</v>
      </c>
      <c r="B22" s="4">
        <f t="shared" si="0"/>
        <v>0</v>
      </c>
      <c r="C22" s="4">
        <f t="shared" si="1"/>
        <v>0.87429999999999997</v>
      </c>
      <c r="D22" s="4">
        <f t="shared" si="2"/>
        <v>0.87429999999999997</v>
      </c>
      <c r="E22" s="4">
        <f t="shared" si="3"/>
        <v>0.87429999999999997</v>
      </c>
      <c r="F22" s="4">
        <f t="shared" si="4"/>
        <v>0.87429999999999997</v>
      </c>
      <c r="G22" s="4">
        <f t="shared" si="5"/>
        <v>0.87429999999999997</v>
      </c>
      <c r="I22" s="336">
        <v>1</v>
      </c>
      <c r="J22" s="4">
        <f t="shared" si="6"/>
        <v>0</v>
      </c>
      <c r="K22" s="4">
        <f t="shared" si="7"/>
        <v>0.87429999999999997</v>
      </c>
      <c r="L22" s="4">
        <f t="shared" si="8"/>
        <v>0.87429999999999997</v>
      </c>
      <c r="M22" s="4">
        <f t="shared" si="9"/>
        <v>0.87429999999999997</v>
      </c>
      <c r="N22" s="4">
        <f t="shared" si="10"/>
        <v>0.87429999999999997</v>
      </c>
      <c r="O22" s="4">
        <f t="shared" si="11"/>
        <v>0.87429999999999997</v>
      </c>
      <c r="Q22" s="336">
        <v>1</v>
      </c>
      <c r="R22" s="4">
        <f t="shared" si="12"/>
        <v>0</v>
      </c>
      <c r="S22" s="4">
        <f t="shared" si="13"/>
        <v>0.87429999999999997</v>
      </c>
      <c r="T22" s="4">
        <f t="shared" si="14"/>
        <v>0.87429999999999997</v>
      </c>
      <c r="U22" s="4">
        <f t="shared" si="15"/>
        <v>0.87429999999999997</v>
      </c>
      <c r="V22" s="4">
        <f t="shared" si="16"/>
        <v>0.87429999999999997</v>
      </c>
      <c r="W22" s="4">
        <f t="shared" si="17"/>
        <v>0.87429999999999997</v>
      </c>
      <c r="Y22" s="336">
        <v>1</v>
      </c>
      <c r="Z22" s="4">
        <f t="shared" si="18"/>
        <v>0</v>
      </c>
      <c r="AA22" s="4">
        <f t="shared" si="19"/>
        <v>0.87429999999999997</v>
      </c>
      <c r="AB22" s="4">
        <f t="shared" si="20"/>
        <v>0.87429999999999997</v>
      </c>
      <c r="AC22" s="4">
        <f t="shared" si="21"/>
        <v>0.87429999999999997</v>
      </c>
      <c r="AD22" s="4">
        <f t="shared" si="22"/>
        <v>0.87429999999999997</v>
      </c>
      <c r="AE22" s="4">
        <f t="shared" si="23"/>
        <v>0.87429999999999997</v>
      </c>
      <c r="AG22" s="336">
        <v>1</v>
      </c>
      <c r="AH22" s="4">
        <f t="shared" si="24"/>
        <v>0</v>
      </c>
      <c r="AI22" s="4">
        <f t="shared" si="25"/>
        <v>0.87429999999999997</v>
      </c>
      <c r="AJ22" s="4">
        <f t="shared" si="26"/>
        <v>0.87429999999999997</v>
      </c>
      <c r="AK22" s="4">
        <f t="shared" si="27"/>
        <v>0.87429999999999997</v>
      </c>
      <c r="AL22" s="4">
        <f t="shared" si="28"/>
        <v>0.87429999999999997</v>
      </c>
      <c r="AM22" s="4">
        <f t="shared" si="29"/>
        <v>0.87429999999999997</v>
      </c>
      <c r="AO22" s="336">
        <v>1</v>
      </c>
      <c r="AP22" s="4">
        <f t="shared" si="31"/>
        <v>0</v>
      </c>
      <c r="AQ22" s="4">
        <f t="shared" si="31"/>
        <v>0.87429999999999997</v>
      </c>
      <c r="AR22" s="4">
        <f t="shared" si="31"/>
        <v>0.87429999999999997</v>
      </c>
      <c r="AS22" s="4">
        <f t="shared" si="31"/>
        <v>0.87429999999999997</v>
      </c>
      <c r="AT22" s="4">
        <f t="shared" si="31"/>
        <v>0.87429999999999997</v>
      </c>
      <c r="AU22" s="4">
        <f t="shared" si="31"/>
        <v>0.87429999999999997</v>
      </c>
    </row>
    <row r="24" spans="1:47" x14ac:dyDescent="0.25">
      <c r="A24" s="2" t="s">
        <v>45</v>
      </c>
      <c r="I24" s="2" t="s">
        <v>45</v>
      </c>
      <c r="Q24" s="2" t="s">
        <v>45</v>
      </c>
      <c r="Y24" s="2" t="s">
        <v>45</v>
      </c>
      <c r="AG24" s="2" t="s">
        <v>45</v>
      </c>
      <c r="AO24" s="2" t="s">
        <v>45</v>
      </c>
    </row>
    <row r="25" spans="1:47" ht="18.75" thickBot="1" x14ac:dyDescent="0.45">
      <c r="E25" s="23"/>
      <c r="M25" s="23"/>
      <c r="U25" s="23"/>
      <c r="AC25" s="23"/>
      <c r="AK25" s="23"/>
      <c r="AS25" s="23"/>
    </row>
    <row r="26" spans="1:47" ht="15.75" thickBot="1" x14ac:dyDescent="0.3">
      <c r="A26" s="335"/>
      <c r="B26" s="335" t="s">
        <v>51</v>
      </c>
      <c r="I26" s="335"/>
      <c r="J26" s="335" t="s">
        <v>51</v>
      </c>
      <c r="Q26" s="335"/>
      <c r="R26" s="335" t="s">
        <v>51</v>
      </c>
      <c r="Y26" s="335"/>
      <c r="Z26" s="335" t="s">
        <v>51</v>
      </c>
      <c r="AG26" s="335"/>
      <c r="AH26" s="335" t="s">
        <v>51</v>
      </c>
      <c r="AO26" s="335"/>
      <c r="AP26" s="335" t="s">
        <v>51</v>
      </c>
    </row>
    <row r="27" spans="1:47" ht="15.75" thickBot="1" x14ac:dyDescent="0.3">
      <c r="A27" s="336" t="s">
        <v>52</v>
      </c>
      <c r="B27" s="5">
        <v>39</v>
      </c>
      <c r="I27" s="336" t="s">
        <v>52</v>
      </c>
      <c r="J27" s="5">
        <f>$B$27</f>
        <v>39</v>
      </c>
      <c r="Q27" s="336" t="s">
        <v>52</v>
      </c>
      <c r="R27" s="5">
        <f>$B$27</f>
        <v>39</v>
      </c>
      <c r="Y27" s="336" t="s">
        <v>52</v>
      </c>
      <c r="Z27" s="5">
        <f>$B$27</f>
        <v>39</v>
      </c>
      <c r="AG27" s="336" t="s">
        <v>52</v>
      </c>
      <c r="AH27" s="5">
        <f>$B$27</f>
        <v>39</v>
      </c>
      <c r="AO27" s="336" t="s">
        <v>52</v>
      </c>
      <c r="AP27" s="5">
        <f>$B$27</f>
        <v>39</v>
      </c>
    </row>
    <row r="29" spans="1:47" x14ac:dyDescent="0.25">
      <c r="A29" s="2" t="s">
        <v>46</v>
      </c>
      <c r="F29" s="588"/>
      <c r="I29" s="2" t="s">
        <v>46</v>
      </c>
      <c r="Q29" s="2" t="s">
        <v>46</v>
      </c>
      <c r="Y29" s="2" t="s">
        <v>46</v>
      </c>
      <c r="AG29" s="2" t="s">
        <v>46</v>
      </c>
      <c r="AO29" s="2" t="s">
        <v>46</v>
      </c>
    </row>
    <row r="30" spans="1:47" ht="15.75" thickBot="1" x14ac:dyDescent="0.3"/>
    <row r="31" spans="1:47" ht="34.5" customHeight="1" thickBot="1" x14ac:dyDescent="0.3">
      <c r="A31" s="335"/>
      <c r="B31" s="335" t="s">
        <v>144</v>
      </c>
      <c r="C31" s="335" t="s">
        <v>143</v>
      </c>
      <c r="D31" s="335" t="s">
        <v>158</v>
      </c>
      <c r="I31" s="335"/>
      <c r="J31" s="335" t="s">
        <v>144</v>
      </c>
      <c r="K31" s="335" t="s">
        <v>143</v>
      </c>
      <c r="L31" s="335" t="s">
        <v>158</v>
      </c>
      <c r="Q31" s="335"/>
      <c r="R31" s="335" t="s">
        <v>144</v>
      </c>
      <c r="S31" s="335" t="s">
        <v>143</v>
      </c>
      <c r="T31" s="335" t="s">
        <v>158</v>
      </c>
      <c r="Y31" s="335"/>
      <c r="Z31" s="335" t="s">
        <v>144</v>
      </c>
      <c r="AA31" s="335" t="s">
        <v>143</v>
      </c>
      <c r="AB31" s="335" t="s">
        <v>158</v>
      </c>
      <c r="AG31" s="335"/>
      <c r="AH31" s="335" t="s">
        <v>144</v>
      </c>
      <c r="AI31" s="335" t="s">
        <v>143</v>
      </c>
      <c r="AJ31" s="335" t="s">
        <v>158</v>
      </c>
      <c r="AO31" s="335"/>
      <c r="AP31" s="335" t="s">
        <v>144</v>
      </c>
      <c r="AQ31" s="335" t="s">
        <v>143</v>
      </c>
      <c r="AR31" s="335" t="s">
        <v>158</v>
      </c>
    </row>
    <row r="32" spans="1:47" ht="15.75" thickBot="1" x14ac:dyDescent="0.3">
      <c r="A32" s="336" t="s">
        <v>49</v>
      </c>
      <c r="B32" s="4" t="e">
        <f>VLOOKUP(G1,$AC$67:$AF$124,2,0)</f>
        <v>#N/A</v>
      </c>
      <c r="C32" s="4" t="e">
        <f>VLOOKUP(G1,$AC$67:$AF$124,3,0)</f>
        <v>#N/A</v>
      </c>
      <c r="D32" s="4" t="e">
        <f>VLOOKUP(G1,$AC$67:$AG$124,4,0)</f>
        <v>#N/A</v>
      </c>
      <c r="I32" s="336" t="s">
        <v>49</v>
      </c>
      <c r="J32" s="4" t="e">
        <f>VLOOKUP(O1,$AC$67:$AF$124,2,0)</f>
        <v>#N/A</v>
      </c>
      <c r="K32" s="4" t="e">
        <f>VLOOKUP(O1,$AC$67:$AF$124,3,0)</f>
        <v>#N/A</v>
      </c>
      <c r="L32" s="4" t="e">
        <f>VLOOKUP(O1,$AC$67:$AG$124,4,0)</f>
        <v>#N/A</v>
      </c>
      <c r="Q32" s="336" t="s">
        <v>49</v>
      </c>
      <c r="R32" s="4" t="e">
        <f>VLOOKUP(W1,$AC$67:$AF$124,2,0)</f>
        <v>#N/A</v>
      </c>
      <c r="S32" s="4" t="e">
        <f>VLOOKUP(W1,$AC$67:$AF$124,3,0)</f>
        <v>#N/A</v>
      </c>
      <c r="T32" s="4" t="e">
        <f>VLOOKUP(W1,$AC$67:$AG$124,4,0)</f>
        <v>#N/A</v>
      </c>
      <c r="Y32" s="336" t="s">
        <v>49</v>
      </c>
      <c r="Z32" s="4" t="e">
        <f>VLOOKUP(AE1,$AC$67:$AF$124,2,0)</f>
        <v>#N/A</v>
      </c>
      <c r="AA32" s="4" t="e">
        <f>VLOOKUP(AE1,$AC$67:$AF$124,3,0)</f>
        <v>#N/A</v>
      </c>
      <c r="AB32" s="4" t="e">
        <f>VLOOKUP(AE1,$AC$67:$AG$124,4,0)</f>
        <v>#N/A</v>
      </c>
      <c r="AG32" s="336" t="s">
        <v>49</v>
      </c>
      <c r="AH32" s="4" t="e">
        <f>VLOOKUP(AM1,$AC$67:$AF$124,2,0)</f>
        <v>#N/A</v>
      </c>
      <c r="AI32" s="4" t="e">
        <f>VLOOKUP(AM1,$AC$67:$AF$124,3,0)</f>
        <v>#N/A</v>
      </c>
      <c r="AJ32" s="4" t="e">
        <f>VLOOKUP(AM1,$AC$67:$AG$124,4,0)</f>
        <v>#N/A</v>
      </c>
      <c r="AO32" s="336" t="s">
        <v>49</v>
      </c>
      <c r="AP32" s="4" t="e">
        <f>VLOOKUP(AU1,$AC$67:$AF$124,2,0)</f>
        <v>#N/A</v>
      </c>
      <c r="AQ32" s="4" t="e">
        <f>VLOOKUP(AU1,$AC$67:$AF$124,3,0)</f>
        <v>#N/A</v>
      </c>
      <c r="AR32" s="4" t="e">
        <f>VLOOKUP(AU1,$AC$67:$AG$124,4,0)</f>
        <v>#N/A</v>
      </c>
    </row>
    <row r="34" spans="1:46" s="15" customFormat="1" x14ac:dyDescent="0.25">
      <c r="A34" s="2" t="s">
        <v>296</v>
      </c>
      <c r="I34" s="2" t="s">
        <v>296</v>
      </c>
      <c r="Q34" s="2" t="s">
        <v>296</v>
      </c>
      <c r="Y34" s="2" t="s">
        <v>296</v>
      </c>
      <c r="AG34" s="2" t="s">
        <v>296</v>
      </c>
      <c r="AO34" s="2" t="s">
        <v>296</v>
      </c>
    </row>
    <row r="35" spans="1:46" s="15" customFormat="1" ht="15.75" thickBot="1" x14ac:dyDescent="0.3"/>
    <row r="36" spans="1:46" s="15" customFormat="1" ht="15.75" thickBot="1" x14ac:dyDescent="0.3">
      <c r="A36" s="335"/>
      <c r="B36" s="335" t="s">
        <v>48</v>
      </c>
      <c r="I36" s="335"/>
      <c r="J36" s="335" t="s">
        <v>48</v>
      </c>
      <c r="Q36" s="335"/>
      <c r="R36" s="335" t="s">
        <v>48</v>
      </c>
      <c r="Y36" s="335"/>
      <c r="Z36" s="335" t="s">
        <v>48</v>
      </c>
      <c r="AG36" s="335"/>
      <c r="AH36" s="335" t="s">
        <v>48</v>
      </c>
      <c r="AO36" s="335"/>
      <c r="AP36" s="335" t="s">
        <v>48</v>
      </c>
    </row>
    <row r="37" spans="1:46" s="15" customFormat="1" ht="15.75" thickBot="1" x14ac:dyDescent="0.3">
      <c r="A37" s="336" t="s">
        <v>146</v>
      </c>
      <c r="B37" s="6" t="e">
        <f>VLOOKUP(G1,$AL$67:$AM$124,2,0)</f>
        <v>#N/A</v>
      </c>
      <c r="I37" s="336" t="s">
        <v>146</v>
      </c>
      <c r="J37" s="6" t="e">
        <f>VLOOKUP(O1,$AL$67:$AM$124,2,0)</f>
        <v>#N/A</v>
      </c>
      <c r="Q37" s="336" t="s">
        <v>146</v>
      </c>
      <c r="R37" s="6" t="e">
        <f>VLOOKUP(W1,$AL$67:$AM$124,2,0)</f>
        <v>#N/A</v>
      </c>
      <c r="Y37" s="336" t="s">
        <v>146</v>
      </c>
      <c r="Z37" s="6" t="e">
        <f>VLOOKUP(AE1,$AL$67:$AM$124,2,0)</f>
        <v>#N/A</v>
      </c>
      <c r="AG37" s="336" t="s">
        <v>146</v>
      </c>
      <c r="AH37" s="6" t="e">
        <f>VLOOKUP(AM1,$AL$67:$AM$124,2,0)</f>
        <v>#N/A</v>
      </c>
      <c r="AO37" s="336" t="s">
        <v>146</v>
      </c>
      <c r="AP37" s="6" t="e">
        <f>VLOOKUP(AU1,$AL$67:$AM$124,2,0)</f>
        <v>#N/A</v>
      </c>
    </row>
    <row r="38" spans="1:46" s="15" customFormat="1" x14ac:dyDescent="0.25"/>
    <row r="39" spans="1:46" x14ac:dyDescent="0.25">
      <c r="A39" s="2" t="s">
        <v>141</v>
      </c>
      <c r="I39" s="2" t="s">
        <v>141</v>
      </c>
      <c r="Q39" s="2" t="s">
        <v>141</v>
      </c>
      <c r="Y39" s="2" t="s">
        <v>141</v>
      </c>
      <c r="AG39" s="2" t="s">
        <v>141</v>
      </c>
      <c r="AO39" s="2" t="s">
        <v>141</v>
      </c>
    </row>
    <row r="40" spans="1:46" ht="15.75" thickBot="1" x14ac:dyDescent="0.3"/>
    <row r="41" spans="1:46" ht="15.75" thickBot="1" x14ac:dyDescent="0.3">
      <c r="A41" s="335"/>
      <c r="B41" s="335" t="s">
        <v>48</v>
      </c>
      <c r="I41" s="335"/>
      <c r="J41" s="335" t="s">
        <v>48</v>
      </c>
      <c r="Q41" s="335"/>
      <c r="R41" s="335" t="s">
        <v>48</v>
      </c>
      <c r="Y41" s="335"/>
      <c r="Z41" s="335" t="s">
        <v>48</v>
      </c>
      <c r="AG41" s="335"/>
      <c r="AH41" s="335" t="s">
        <v>48</v>
      </c>
      <c r="AO41" s="335"/>
      <c r="AP41" s="335" t="s">
        <v>48</v>
      </c>
    </row>
    <row r="42" spans="1:46" ht="15.75" thickBot="1" x14ac:dyDescent="0.3">
      <c r="A42" s="336" t="s">
        <v>146</v>
      </c>
      <c r="B42" s="6" t="e">
        <f>VLOOKUP(G1,$W$67:$X$124,2,0)</f>
        <v>#N/A</v>
      </c>
      <c r="D42" s="15"/>
      <c r="I42" s="336" t="s">
        <v>146</v>
      </c>
      <c r="J42" s="6" t="e">
        <f>VLOOKUP(O1,$W$67:$X$124,2,0)</f>
        <v>#N/A</v>
      </c>
      <c r="Q42" s="336" t="s">
        <v>146</v>
      </c>
      <c r="R42" s="6" t="e">
        <f>VLOOKUP(W1,$W$67:$X$124,2,0)</f>
        <v>#N/A</v>
      </c>
      <c r="Y42" s="336" t="s">
        <v>146</v>
      </c>
      <c r="Z42" s="6" t="e">
        <f>VLOOKUP(AE1,$W$67:$X$124,2,0)</f>
        <v>#N/A</v>
      </c>
      <c r="AG42" s="336" t="s">
        <v>146</v>
      </c>
      <c r="AH42" s="6" t="e">
        <f>VLOOKUP(AM1,$W$67:$X$124,2,0)</f>
        <v>#N/A</v>
      </c>
      <c r="AO42" s="336" t="s">
        <v>146</v>
      </c>
      <c r="AP42" s="6" t="e">
        <f>VLOOKUP(AU1,$W$67:$X$124,2,0)</f>
        <v>#N/A</v>
      </c>
    </row>
    <row r="43" spans="1:46" s="15" customFormat="1" x14ac:dyDescent="0.25"/>
    <row r="45" spans="1:46" x14ac:dyDescent="0.25">
      <c r="A45" s="2" t="s">
        <v>54</v>
      </c>
      <c r="B45" s="347" t="s">
        <v>264</v>
      </c>
      <c r="I45" s="2" t="s">
        <v>54</v>
      </c>
      <c r="J45" s="38" t="str">
        <f>$B$45</f>
        <v>https://www.lohn-info.de/sozialversicherungsbeitraege2026.html</v>
      </c>
      <c r="Q45" s="2" t="s">
        <v>54</v>
      </c>
      <c r="R45" s="38" t="str">
        <f>$B$45</f>
        <v>https://www.lohn-info.de/sozialversicherungsbeitraege2026.html</v>
      </c>
      <c r="Y45" s="2" t="s">
        <v>54</v>
      </c>
      <c r="Z45" s="38" t="str">
        <f>$B$45</f>
        <v>https://www.lohn-info.de/sozialversicherungsbeitraege2026.html</v>
      </c>
      <c r="AG45" s="2" t="s">
        <v>54</v>
      </c>
      <c r="AH45" s="38" t="str">
        <f>$B$45</f>
        <v>https://www.lohn-info.de/sozialversicherungsbeitraege2026.html</v>
      </c>
      <c r="AO45" s="2" t="s">
        <v>54</v>
      </c>
      <c r="AP45" s="38" t="str">
        <f>$B$45</f>
        <v>https://www.lohn-info.de/sozialversicherungsbeitraege2026.html</v>
      </c>
    </row>
    <row r="46" spans="1:46" ht="15.75" thickBot="1" x14ac:dyDescent="0.3"/>
    <row r="47" spans="1:46" ht="45" x14ac:dyDescent="0.25">
      <c r="A47" s="887" t="s">
        <v>35</v>
      </c>
      <c r="B47" s="338" t="s">
        <v>36</v>
      </c>
      <c r="C47" s="338" t="s">
        <v>37</v>
      </c>
      <c r="D47" s="338" t="s">
        <v>39</v>
      </c>
      <c r="E47" s="340" t="s">
        <v>55</v>
      </c>
      <c r="F47" s="341" t="s">
        <v>56</v>
      </c>
      <c r="I47" s="887" t="s">
        <v>35</v>
      </c>
      <c r="J47" s="338" t="s">
        <v>36</v>
      </c>
      <c r="K47" s="338" t="s">
        <v>37</v>
      </c>
      <c r="L47" s="338" t="s">
        <v>39</v>
      </c>
      <c r="M47" s="340" t="s">
        <v>55</v>
      </c>
      <c r="N47" s="341" t="s">
        <v>56</v>
      </c>
      <c r="Q47" s="887" t="s">
        <v>35</v>
      </c>
      <c r="R47" s="338" t="s">
        <v>36</v>
      </c>
      <c r="S47" s="338" t="s">
        <v>37</v>
      </c>
      <c r="T47" s="338" t="s">
        <v>39</v>
      </c>
      <c r="U47" s="340" t="s">
        <v>55</v>
      </c>
      <c r="V47" s="341" t="s">
        <v>56</v>
      </c>
      <c r="Y47" s="887" t="s">
        <v>35</v>
      </c>
      <c r="Z47" s="338" t="s">
        <v>36</v>
      </c>
      <c r="AA47" s="338" t="s">
        <v>37</v>
      </c>
      <c r="AB47" s="338" t="s">
        <v>39</v>
      </c>
      <c r="AC47" s="340" t="s">
        <v>55</v>
      </c>
      <c r="AD47" s="341" t="s">
        <v>56</v>
      </c>
      <c r="AG47" s="887" t="s">
        <v>35</v>
      </c>
      <c r="AH47" s="338" t="s">
        <v>36</v>
      </c>
      <c r="AI47" s="338" t="s">
        <v>37</v>
      </c>
      <c r="AJ47" s="338" t="s">
        <v>39</v>
      </c>
      <c r="AK47" s="340" t="s">
        <v>55</v>
      </c>
      <c r="AL47" s="341" t="s">
        <v>56</v>
      </c>
      <c r="AO47" s="887" t="s">
        <v>35</v>
      </c>
      <c r="AP47" s="338" t="s">
        <v>36</v>
      </c>
      <c r="AQ47" s="338" t="s">
        <v>37</v>
      </c>
      <c r="AR47" s="338" t="s">
        <v>39</v>
      </c>
      <c r="AS47" s="340" t="s">
        <v>55</v>
      </c>
      <c r="AT47" s="341" t="s">
        <v>56</v>
      </c>
    </row>
    <row r="48" spans="1:46" ht="15.75" thickBot="1" x14ac:dyDescent="0.3">
      <c r="A48" s="888"/>
      <c r="B48" s="339" t="s">
        <v>11</v>
      </c>
      <c r="C48" s="339" t="s">
        <v>38</v>
      </c>
      <c r="D48" s="339" t="s">
        <v>38</v>
      </c>
      <c r="E48" s="342"/>
      <c r="F48" s="342" t="s">
        <v>57</v>
      </c>
      <c r="I48" s="888"/>
      <c r="J48" s="339" t="s">
        <v>11</v>
      </c>
      <c r="K48" s="339" t="s">
        <v>38</v>
      </c>
      <c r="L48" s="339" t="s">
        <v>38</v>
      </c>
      <c r="M48" s="342"/>
      <c r="N48" s="342" t="s">
        <v>57</v>
      </c>
      <c r="Q48" s="888"/>
      <c r="R48" s="339" t="s">
        <v>11</v>
      </c>
      <c r="S48" s="339" t="s">
        <v>38</v>
      </c>
      <c r="T48" s="339" t="s">
        <v>38</v>
      </c>
      <c r="U48" s="342"/>
      <c r="V48" s="342" t="s">
        <v>57</v>
      </c>
      <c r="Y48" s="888"/>
      <c r="Z48" s="339" t="s">
        <v>11</v>
      </c>
      <c r="AA48" s="339" t="s">
        <v>38</v>
      </c>
      <c r="AB48" s="339" t="s">
        <v>38</v>
      </c>
      <c r="AC48" s="342"/>
      <c r="AD48" s="342" t="s">
        <v>57</v>
      </c>
      <c r="AG48" s="888"/>
      <c r="AH48" s="339" t="s">
        <v>11</v>
      </c>
      <c r="AI48" s="339" t="s">
        <v>38</v>
      </c>
      <c r="AJ48" s="339" t="s">
        <v>38</v>
      </c>
      <c r="AK48" s="342"/>
      <c r="AL48" s="342" t="s">
        <v>57</v>
      </c>
      <c r="AO48" s="888"/>
      <c r="AP48" s="339" t="s">
        <v>11</v>
      </c>
      <c r="AQ48" s="339" t="s">
        <v>38</v>
      </c>
      <c r="AR48" s="339" t="s">
        <v>38</v>
      </c>
      <c r="AS48" s="342"/>
      <c r="AT48" s="342" t="s">
        <v>57</v>
      </c>
    </row>
    <row r="49" spans="1:46" s="20" customFormat="1" ht="21" customHeight="1" thickBot="1" x14ac:dyDescent="0.3">
      <c r="A49" s="337" t="s">
        <v>127</v>
      </c>
      <c r="B49" s="17" t="e">
        <f>VLOOKUP(G1,$I$67:$L$124,4,0)</f>
        <v>#N/A</v>
      </c>
      <c r="C49" s="17" t="e">
        <f>B49/2</f>
        <v>#N/A</v>
      </c>
      <c r="D49" s="17" t="e">
        <f>B49/2</f>
        <v>#N/A</v>
      </c>
      <c r="E49" s="18" t="e">
        <f>VLOOKUP(G1,$AH$67:$AJ$124,2,0)</f>
        <v>#N/A</v>
      </c>
      <c r="F49" s="19" t="e">
        <f t="shared" ref="F49:F54" si="32">E49*D49</f>
        <v>#N/A</v>
      </c>
      <c r="I49" s="337" t="s">
        <v>127</v>
      </c>
      <c r="J49" s="17" t="e">
        <f>VLOOKUP(O1,$I$67:$L$124,4,0)</f>
        <v>#N/A</v>
      </c>
      <c r="K49" s="17" t="e">
        <f>J49/2</f>
        <v>#N/A</v>
      </c>
      <c r="L49" s="17" t="e">
        <f>J49/2</f>
        <v>#N/A</v>
      </c>
      <c r="M49" s="18" t="e">
        <f>IF(OR('HR-EU'!$X$5=FALSE,'HR-LM (U2,U5FOD,U7)'!$X$5=FALSE,'HR-DM (U3,U4,U5AUF)'!$X$5=FALSE,'HR-AZA(P)'!$X$5=FALSE)=TRUE,Bmg1Jahr1,VLOOKUP(O1,$AH$67:$AJ$124,2,0))</f>
        <v>#N/A</v>
      </c>
      <c r="N49" s="19" t="e">
        <f t="shared" ref="N49:N52" si="33">M49*L49</f>
        <v>#N/A</v>
      </c>
      <c r="Q49" s="337" t="s">
        <v>127</v>
      </c>
      <c r="R49" s="17" t="e">
        <f>VLOOKUP(W1,$I$67:$L$124,4,0)</f>
        <v>#N/A</v>
      </c>
      <c r="S49" s="17" t="e">
        <f>R49/2</f>
        <v>#N/A</v>
      </c>
      <c r="T49" s="17" t="e">
        <f>R49/2</f>
        <v>#N/A</v>
      </c>
      <c r="U49" s="18" t="e">
        <f>IF(OR('HR-EU'!$X$5=FALSE,'HR-LM (U2,U5FOD,U7)'!$X$5=FALSE,'HR-DM (U3,U4,U5AUF)'!$X$5=FALSE,'HR-AZA(P)'!$X$5=FALSE)=TRUE,Bmg1Jahr1,VLOOKUP(W1,$AH$67:$AJ$124,2,0))</f>
        <v>#N/A</v>
      </c>
      <c r="V49" s="19" t="e">
        <f t="shared" ref="V49:V52" si="34">U49*T49</f>
        <v>#N/A</v>
      </c>
      <c r="Y49" s="337" t="s">
        <v>127</v>
      </c>
      <c r="Z49" s="17" t="e">
        <f>VLOOKUP(AE1,$I$67:$L$124,4,0)</f>
        <v>#N/A</v>
      </c>
      <c r="AA49" s="17" t="e">
        <f>Z49/2</f>
        <v>#N/A</v>
      </c>
      <c r="AB49" s="17" t="e">
        <f>Z49/2</f>
        <v>#N/A</v>
      </c>
      <c r="AC49" s="18" t="e">
        <f>IF(OR('HR-EU'!$X$5=FALSE,'HR-LM (U2,U5FOD,U7)'!$X$5=FALSE,'HR-DM (U3,U4,U5AUF)'!$X$5=FALSE,'HR-AZA(P)'!$X$5=FALSE)=TRUE,Bmg1Jahr1,VLOOKUP(AE1,$AH$67:$AJ$124,2,0))</f>
        <v>#N/A</v>
      </c>
      <c r="AD49" s="19" t="e">
        <f t="shared" ref="AD49:AD52" si="35">AC49*AB49</f>
        <v>#N/A</v>
      </c>
      <c r="AG49" s="337" t="s">
        <v>127</v>
      </c>
      <c r="AH49" s="17" t="e">
        <f>VLOOKUP(AM1,$I$67:$L$124,4,0)</f>
        <v>#N/A</v>
      </c>
      <c r="AI49" s="17" t="e">
        <f>AH49/2</f>
        <v>#N/A</v>
      </c>
      <c r="AJ49" s="17" t="e">
        <f>AH49/2</f>
        <v>#N/A</v>
      </c>
      <c r="AK49" s="18" t="e">
        <f>IF(OR('HR-EU'!$X$5=FALSE,'HR-LM (U2,U5FOD,U7)'!$X$5=FALSE,'HR-DM (U3,U4,U5AUF)'!$X$5=FALSE,'HR-AZA(P)'!$X$5=FALSE)=TRUE,Bmg1Jahr1,VLOOKUP(AM1,$AH$67:$AJ$124,2,0))</f>
        <v>#N/A</v>
      </c>
      <c r="AL49" s="19" t="e">
        <f t="shared" ref="AL49:AL52" si="36">AK49*AJ49</f>
        <v>#N/A</v>
      </c>
      <c r="AO49" s="337" t="s">
        <v>127</v>
      </c>
      <c r="AP49" s="17" t="e">
        <f>VLOOKUP(AU1,$I$67:$L$124,4,0)</f>
        <v>#N/A</v>
      </c>
      <c r="AQ49" s="17" t="e">
        <f>AP49/2</f>
        <v>#N/A</v>
      </c>
      <c r="AR49" s="17" t="e">
        <f>AP49/2</f>
        <v>#N/A</v>
      </c>
      <c r="AS49" s="18" t="e">
        <f>IF(OR('HR-EU'!$X$5=FALSE,'HR-LM (U2,U5FOD,U7)'!$X$5=FALSE,'HR-DM (U3,U4,U5AUF)'!$X$5=FALSE,'HR-AZA(P)'!$X$5=FALSE)=TRUE,Bmg1Jahr1,VLOOKUP(AU1,$AH$67:$AJ$124,2,0))</f>
        <v>#N/A</v>
      </c>
      <c r="AT49" s="19" t="e">
        <f t="shared" ref="AT49:AT52" si="37">AS49*AR49</f>
        <v>#N/A</v>
      </c>
    </row>
    <row r="50" spans="1:46" s="20" customFormat="1" ht="21" customHeight="1" thickBot="1" x14ac:dyDescent="0.3">
      <c r="A50" s="337" t="s">
        <v>128</v>
      </c>
      <c r="B50" s="21" t="e">
        <f>VLOOKUP(G1,$N$67:$O$124,2,0)</f>
        <v>#N/A</v>
      </c>
      <c r="C50" s="17" t="e">
        <f>B50/2</f>
        <v>#N/A</v>
      </c>
      <c r="D50" s="17" t="e">
        <f>B50/2</f>
        <v>#N/A</v>
      </c>
      <c r="E50" s="18" t="e">
        <f>VLOOKUP(G1,$AH$67:$AJ$124,2,0)</f>
        <v>#N/A</v>
      </c>
      <c r="F50" s="19" t="e">
        <f t="shared" si="32"/>
        <v>#N/A</v>
      </c>
      <c r="I50" s="337" t="s">
        <v>128</v>
      </c>
      <c r="J50" s="21" t="e">
        <f>VLOOKUP(O1,$N$67:$O$124,2,0)</f>
        <v>#N/A</v>
      </c>
      <c r="K50" s="17" t="e">
        <f>J50/2</f>
        <v>#N/A</v>
      </c>
      <c r="L50" s="17" t="e">
        <f>J50/2</f>
        <v>#N/A</v>
      </c>
      <c r="M50" s="18" t="e">
        <f>IF(OR('HR-EU'!$X$5=FALSE,'HR-LM (U2,U5FOD,U7)'!$X$5=FALSE,'HR-DM (U3,U4,U5AUF)'!$X$5=FALSE,'HR-AZA(P)'!$X$5=FALSE)=TRUE,Bmg1Jahr1,VLOOKUP(O1,$AH$67:$AJ$124,2,0))</f>
        <v>#N/A</v>
      </c>
      <c r="N50" s="19" t="e">
        <f t="shared" si="33"/>
        <v>#N/A</v>
      </c>
      <c r="Q50" s="337" t="s">
        <v>128</v>
      </c>
      <c r="R50" s="21" t="e">
        <f>VLOOKUP(W1,$N$67:$O$124,2,0)</f>
        <v>#N/A</v>
      </c>
      <c r="S50" s="17" t="e">
        <f>R50/2</f>
        <v>#N/A</v>
      </c>
      <c r="T50" s="17" t="e">
        <f>R50/2</f>
        <v>#N/A</v>
      </c>
      <c r="U50" s="18" t="e">
        <f>IF(OR('HR-EU'!$X$5=FALSE,'HR-LM (U2,U5FOD,U7)'!$X$5=FALSE,'HR-DM (U3,U4,U5AUF)'!$X$5=FALSE,'HR-AZA(P)'!$X$5=FALSE)=TRUE,Bmg1Jahr1,VLOOKUP(W1,$AH$67:$AJ$124,2,0))</f>
        <v>#N/A</v>
      </c>
      <c r="V50" s="19" t="e">
        <f t="shared" si="34"/>
        <v>#N/A</v>
      </c>
      <c r="Y50" s="337" t="s">
        <v>128</v>
      </c>
      <c r="Z50" s="21" t="e">
        <f>VLOOKUP(AE1,$N$67:$O$124,2,0)</f>
        <v>#N/A</v>
      </c>
      <c r="AA50" s="17" t="e">
        <f>Z50/2</f>
        <v>#N/A</v>
      </c>
      <c r="AB50" s="17" t="e">
        <f>Z50/2</f>
        <v>#N/A</v>
      </c>
      <c r="AC50" s="18" t="e">
        <f>IF(OR('HR-EU'!$X$5=FALSE,'HR-LM (U2,U5FOD,U7)'!$X$5=FALSE,'HR-DM (U3,U4,U5AUF)'!$X$5=FALSE,'HR-AZA(P)'!$X$5=FALSE)=TRUE,Bmg1Jahr1,VLOOKUP(AE1,$AH$67:$AJ$124,2,0))</f>
        <v>#N/A</v>
      </c>
      <c r="AD50" s="19" t="e">
        <f t="shared" si="35"/>
        <v>#N/A</v>
      </c>
      <c r="AG50" s="337" t="s">
        <v>128</v>
      </c>
      <c r="AH50" s="21" t="e">
        <f>VLOOKUP(AM1,$N$67:$O$124,2,0)</f>
        <v>#N/A</v>
      </c>
      <c r="AI50" s="17" t="e">
        <f>AH50/2</f>
        <v>#N/A</v>
      </c>
      <c r="AJ50" s="17" t="e">
        <f>AH50/2</f>
        <v>#N/A</v>
      </c>
      <c r="AK50" s="18" t="e">
        <f>IF(OR('HR-EU'!$X$5=FALSE,'HR-LM (U2,U5FOD,U7)'!$X$5=FALSE,'HR-DM (U3,U4,U5AUF)'!$X$5=FALSE,'HR-AZA(P)'!$X$5=FALSE)=TRUE,Bmg1Jahr1,VLOOKUP(AM1,$AH$67:$AJ$124,2,0))</f>
        <v>#N/A</v>
      </c>
      <c r="AL50" s="19" t="e">
        <f t="shared" si="36"/>
        <v>#N/A</v>
      </c>
      <c r="AO50" s="337" t="s">
        <v>128</v>
      </c>
      <c r="AP50" s="21" t="e">
        <f>VLOOKUP(AU1,$N$67:$O$124,2,0)</f>
        <v>#N/A</v>
      </c>
      <c r="AQ50" s="17" t="e">
        <f>AP50/2</f>
        <v>#N/A</v>
      </c>
      <c r="AR50" s="17" t="e">
        <f>AP50/2</f>
        <v>#N/A</v>
      </c>
      <c r="AS50" s="18" t="e">
        <f>IF(OR('HR-EU'!$X$5=FALSE,'HR-LM (U2,U5FOD,U7)'!$X$5=FALSE,'HR-DM (U3,U4,U5AUF)'!$X$5=FALSE,'HR-AZA(P)'!$X$5=FALSE)=TRUE,Bmg1Jahr1,VLOOKUP(AU1,$AH$67:$AJ$124,2,0))</f>
        <v>#N/A</v>
      </c>
      <c r="AT50" s="19" t="e">
        <f t="shared" si="37"/>
        <v>#N/A</v>
      </c>
    </row>
    <row r="51" spans="1:46" s="20" customFormat="1" ht="21" customHeight="1" thickBot="1" x14ac:dyDescent="0.3">
      <c r="A51" s="337" t="s">
        <v>40</v>
      </c>
      <c r="B51" s="21" t="e">
        <f>VLOOKUP(G1,$Q$67:$R$124,2,0)</f>
        <v>#N/A</v>
      </c>
      <c r="C51" s="21" t="e">
        <f>B51/2</f>
        <v>#N/A</v>
      </c>
      <c r="D51" s="21" t="e">
        <f>B51/2</f>
        <v>#N/A</v>
      </c>
      <c r="E51" s="18" t="e">
        <f>VLOOKUP(G1,$AH$67:$AJ$124,3,0)</f>
        <v>#N/A</v>
      </c>
      <c r="F51" s="19" t="e">
        <f t="shared" si="32"/>
        <v>#N/A</v>
      </c>
      <c r="I51" s="337" t="s">
        <v>40</v>
      </c>
      <c r="J51" s="21" t="e">
        <f>VLOOKUP(O1,$Q$67:$R$124,2,0)</f>
        <v>#N/A</v>
      </c>
      <c r="K51" s="21" t="e">
        <f>J51/2</f>
        <v>#N/A</v>
      </c>
      <c r="L51" s="21" t="e">
        <f>J51/2</f>
        <v>#N/A</v>
      </c>
      <c r="M51" s="18" t="e">
        <f>IF(OR('HR-EU'!$W$5=FALSE,'HR-LM (U2,U5FOD,U7)'!$W$5=FALSE,'HR-DM (U3,U4,U5AUF)'!$X$5=FALSE,'HR-AZA(P)'!$X$5=FALSE)=TRUE,Bmg2Jahr1,VLOOKUP(O1,$AH$67:$AJ$124,3,0))</f>
        <v>#N/A</v>
      </c>
      <c r="N51" s="19" t="e">
        <f t="shared" si="33"/>
        <v>#N/A</v>
      </c>
      <c r="Q51" s="337" t="s">
        <v>40</v>
      </c>
      <c r="R51" s="21" t="e">
        <f>VLOOKUP(W1,$Q$67:$R$124,2,0)</f>
        <v>#N/A</v>
      </c>
      <c r="S51" s="21" t="e">
        <f>R51/2</f>
        <v>#N/A</v>
      </c>
      <c r="T51" s="21" t="e">
        <f>R51/2</f>
        <v>#N/A</v>
      </c>
      <c r="U51" s="18" t="e">
        <f>IF(OR('HR-EU'!$W$5=FALSE,'HR-LM (U2,U5FOD,U7)'!$W$5=FALSE,'HR-DM (U3,U4,U5AUF)'!$X$5=FALSE,'HR-AZA(P)'!$X$5=FALSE)=TRUE,Bmg2Jahr1,VLOOKUP(W1,$AH$67:$AJ$124,3,0))</f>
        <v>#N/A</v>
      </c>
      <c r="V51" s="19" t="e">
        <f t="shared" si="34"/>
        <v>#N/A</v>
      </c>
      <c r="Y51" s="337" t="s">
        <v>40</v>
      </c>
      <c r="Z51" s="21" t="e">
        <f>VLOOKUP(AE1,$Q$67:$R$124,2,0)</f>
        <v>#N/A</v>
      </c>
      <c r="AA51" s="21" t="e">
        <f>Z51/2</f>
        <v>#N/A</v>
      </c>
      <c r="AB51" s="21" t="e">
        <f>Z51/2</f>
        <v>#N/A</v>
      </c>
      <c r="AC51" s="18" t="e">
        <f>IF(OR('HR-EU'!$W$5=FALSE,'HR-LM (U2,U5FOD,U7)'!$W$5=FALSE,'HR-DM (U3,U4,U5AUF)'!$X$5=FALSE,'HR-AZA(P)'!$X$5=FALSE)=TRUE,Bmg2Jahr1,VLOOKUP(AE1,$AH$67:$AJ$124,3,0))</f>
        <v>#N/A</v>
      </c>
      <c r="AD51" s="19" t="e">
        <f t="shared" si="35"/>
        <v>#N/A</v>
      </c>
      <c r="AG51" s="337" t="s">
        <v>40</v>
      </c>
      <c r="AH51" s="21" t="e">
        <f>VLOOKUP(AM1,$Q$67:$R$124,2,0)</f>
        <v>#N/A</v>
      </c>
      <c r="AI51" s="21" t="e">
        <f>AH51/2</f>
        <v>#N/A</v>
      </c>
      <c r="AJ51" s="21" t="e">
        <f>AH51/2</f>
        <v>#N/A</v>
      </c>
      <c r="AK51" s="18" t="e">
        <f>IF(OR('HR-EU'!$W$5=FALSE,'HR-LM (U2,U5FOD,U7)'!$W$5=FALSE,'HR-DM (U3,U4,U5AUF)'!$X$5=FALSE,'HR-AZA(P)'!$X$5=FALSE)=TRUE,Bmg2Jahr1,VLOOKUP(AM1,$AH$67:$AJ$124,3,0))</f>
        <v>#N/A</v>
      </c>
      <c r="AL51" s="19" t="e">
        <f t="shared" si="36"/>
        <v>#N/A</v>
      </c>
      <c r="AO51" s="337" t="s">
        <v>40</v>
      </c>
      <c r="AP51" s="21" t="e">
        <f>VLOOKUP(AU1,$Q$67:$R$124,2,0)</f>
        <v>#N/A</v>
      </c>
      <c r="AQ51" s="21" t="e">
        <f>AP51/2</f>
        <v>#N/A</v>
      </c>
      <c r="AR51" s="21" t="e">
        <f>AP51/2</f>
        <v>#N/A</v>
      </c>
      <c r="AS51" s="18" t="e">
        <f>IF(OR('HR-EU'!$W$5=FALSE,'HR-LM (U2,U5FOD,U7)'!$W$5=FALSE,'HR-DM (U3,U4,U5AUF)'!$X$5=FALSE,'HR-AZA(P)'!$X$5=FALSE)=TRUE,Bmg2Jahr1,VLOOKUP(AU1,$AH$67:$AJ$124,3,0))</f>
        <v>#N/A</v>
      </c>
      <c r="AT51" s="19" t="e">
        <f t="shared" si="37"/>
        <v>#N/A</v>
      </c>
    </row>
    <row r="52" spans="1:46" s="20" customFormat="1" ht="21" customHeight="1" thickBot="1" x14ac:dyDescent="0.3">
      <c r="A52" s="337" t="s">
        <v>41</v>
      </c>
      <c r="B52" s="21" t="e">
        <f>VLOOKUP(G1,$T$67:$U$124,2,0)</f>
        <v>#N/A</v>
      </c>
      <c r="C52" s="21" t="e">
        <f t="shared" ref="C52:C53" si="38">B52/2</f>
        <v>#N/A</v>
      </c>
      <c r="D52" s="21" t="e">
        <f t="shared" ref="D52:D53" si="39">B52/2</f>
        <v>#N/A</v>
      </c>
      <c r="E52" s="18" t="e">
        <f>VLOOKUP(G1,$AH$67:$AJ$124,3,0)</f>
        <v>#N/A</v>
      </c>
      <c r="F52" s="19" t="e">
        <f t="shared" si="32"/>
        <v>#N/A</v>
      </c>
      <c r="I52" s="337" t="s">
        <v>41</v>
      </c>
      <c r="J52" s="21" t="e">
        <f>VLOOKUP(O1,$T$67:$U$124,2,0)</f>
        <v>#N/A</v>
      </c>
      <c r="K52" s="21" t="e">
        <f t="shared" ref="K52:K53" si="40">J52/2</f>
        <v>#N/A</v>
      </c>
      <c r="L52" s="21" t="e">
        <f t="shared" ref="L52:L53" si="41">J52/2</f>
        <v>#N/A</v>
      </c>
      <c r="M52" s="18" t="e">
        <f>IF(OR('HR-EU'!$W$5=FALSE,'HR-LM (U2,U5FOD,U7)'!$W$5=FALSE,'HR-DM (U3,U4,U5AUF)'!$X$5=FALSE,'HR-AZA(P)'!$X$5=FALSE)=TRUE,Bmg2Jahr1,VLOOKUP(O1,$AH$67:$AJ$124,3,0))</f>
        <v>#N/A</v>
      </c>
      <c r="N52" s="19" t="e">
        <f t="shared" si="33"/>
        <v>#N/A</v>
      </c>
      <c r="Q52" s="337" t="s">
        <v>41</v>
      </c>
      <c r="R52" s="21" t="e">
        <f>VLOOKUP(W1,$T$67:$U$124,2,0)</f>
        <v>#N/A</v>
      </c>
      <c r="S52" s="21" t="e">
        <f t="shared" ref="S52:S53" si="42">R52/2</f>
        <v>#N/A</v>
      </c>
      <c r="T52" s="21" t="e">
        <f t="shared" ref="T52:T53" si="43">R52/2</f>
        <v>#N/A</v>
      </c>
      <c r="U52" s="18" t="e">
        <f>IF(OR('HR-EU'!$W$5=FALSE,'HR-LM (U2,U5FOD,U7)'!$W$5=FALSE,'HR-DM (U3,U4,U5AUF)'!$X$5=FALSE,'HR-AZA(P)'!$X$5=FALSE)=TRUE,Bmg2Jahr1,VLOOKUP(W1,$AH$67:$AJ$124,3,0))</f>
        <v>#N/A</v>
      </c>
      <c r="V52" s="19" t="e">
        <f t="shared" si="34"/>
        <v>#N/A</v>
      </c>
      <c r="Y52" s="337" t="s">
        <v>41</v>
      </c>
      <c r="Z52" s="21" t="e">
        <f>VLOOKUP(AE1,$T$67:$U$124,2,0)</f>
        <v>#N/A</v>
      </c>
      <c r="AA52" s="21" t="e">
        <f t="shared" ref="AA52:AA53" si="44">Z52/2</f>
        <v>#N/A</v>
      </c>
      <c r="AB52" s="21" t="e">
        <f t="shared" ref="AB52:AB53" si="45">Z52/2</f>
        <v>#N/A</v>
      </c>
      <c r="AC52" s="18" t="e">
        <f>IF(OR('HR-EU'!$W$5=FALSE,'HR-LM (U2,U5FOD,U7)'!$W$5=FALSE,'HR-DM (U3,U4,U5AUF)'!$X$5=FALSE,'HR-AZA(P)'!$X$5=FALSE)=TRUE,Bmg2Jahr1,VLOOKUP(AE1,$AH$67:$AJ$124,3,0))</f>
        <v>#N/A</v>
      </c>
      <c r="AD52" s="19" t="e">
        <f t="shared" si="35"/>
        <v>#N/A</v>
      </c>
      <c r="AG52" s="337" t="s">
        <v>41</v>
      </c>
      <c r="AH52" s="21" t="e">
        <f>VLOOKUP(AM1,$T$67:$U$124,2,0)</f>
        <v>#N/A</v>
      </c>
      <c r="AI52" s="21" t="e">
        <f t="shared" ref="AI52:AI53" si="46">AH52/2</f>
        <v>#N/A</v>
      </c>
      <c r="AJ52" s="21" t="e">
        <f t="shared" ref="AJ52:AJ53" si="47">AH52/2</f>
        <v>#N/A</v>
      </c>
      <c r="AK52" s="18" t="e">
        <f>IF(OR('HR-EU'!$W$5=FALSE,'HR-LM (U2,U5FOD,U7)'!$W$5=FALSE,'HR-DM (U3,U4,U5AUF)'!$X$5=FALSE,'HR-AZA(P)'!$X$5=FALSE)=TRUE,Bmg2Jahr1,VLOOKUP(AM1,$AH$67:$AJ$124,3,0))</f>
        <v>#N/A</v>
      </c>
      <c r="AL52" s="19" t="e">
        <f t="shared" si="36"/>
        <v>#N/A</v>
      </c>
      <c r="AO52" s="337" t="s">
        <v>41</v>
      </c>
      <c r="AP52" s="21" t="e">
        <f>VLOOKUP(AU1,$T$67:$U$124,2,0)</f>
        <v>#N/A</v>
      </c>
      <c r="AQ52" s="21" t="e">
        <f t="shared" ref="AQ52:AQ53" si="48">AP52/2</f>
        <v>#N/A</v>
      </c>
      <c r="AR52" s="21" t="e">
        <f t="shared" ref="AR52:AR53" si="49">AP52/2</f>
        <v>#N/A</v>
      </c>
      <c r="AS52" s="18" t="e">
        <f>IF(OR('HR-EU'!$W$5=FALSE,'HR-LM (U2,U5FOD,U7)'!$W$5=FALSE,'HR-DM (U3,U4,U5AUF)'!$X$5=FALSE,'HR-AZA(P)'!$X$5=FALSE)=TRUE,Bmg2Jahr1,VLOOKUP(AU1,$AH$67:$AJ$124,3,0))</f>
        <v>#N/A</v>
      </c>
      <c r="AT52" s="19" t="e">
        <f t="shared" si="37"/>
        <v>#N/A</v>
      </c>
    </row>
    <row r="53" spans="1:46" s="20" customFormat="1" ht="21" customHeight="1" thickBot="1" x14ac:dyDescent="0.3">
      <c r="A53" s="337" t="s">
        <v>139</v>
      </c>
      <c r="B53" s="21">
        <v>0</v>
      </c>
      <c r="C53" s="21">
        <f t="shared" si="38"/>
        <v>0</v>
      </c>
      <c r="D53" s="21">
        <f t="shared" si="39"/>
        <v>0</v>
      </c>
      <c r="E53" s="18" t="e">
        <f>VLOOKUP(G1,$AH$67:$AJ$124,3,0)</f>
        <v>#N/A</v>
      </c>
      <c r="F53" s="19" t="e">
        <f>E53*D53</f>
        <v>#N/A</v>
      </c>
      <c r="I53" s="337" t="s">
        <v>139</v>
      </c>
      <c r="J53" s="21">
        <v>0</v>
      </c>
      <c r="K53" s="21">
        <f t="shared" si="40"/>
        <v>0</v>
      </c>
      <c r="L53" s="21">
        <f t="shared" si="41"/>
        <v>0</v>
      </c>
      <c r="M53" s="18" t="e">
        <f>IF(OR('HR-EU'!$W$5=FALSE,'HR-LM (U2,U5FOD,U7)'!$W$5=FALSE,'HR-DM (U3,U4,U5AUF)'!$X$5=FALSE,'HR-AZA(P)'!$X$5=FALSE)=TRUE,Bmg2Jahr1,VLOOKUP(O1,$AH$67:$AJ$124,3,0))</f>
        <v>#N/A</v>
      </c>
      <c r="N53" s="19" t="e">
        <f>M53*L53</f>
        <v>#N/A</v>
      </c>
      <c r="Q53" s="337" t="s">
        <v>139</v>
      </c>
      <c r="R53" s="21">
        <v>0</v>
      </c>
      <c r="S53" s="21">
        <f t="shared" si="42"/>
        <v>0</v>
      </c>
      <c r="T53" s="21">
        <f t="shared" si="43"/>
        <v>0</v>
      </c>
      <c r="U53" s="18" t="e">
        <f>IF(OR('HR-EU'!$W$5=FALSE,'HR-LM (U2,U5FOD,U7)'!$W$5=FALSE,'HR-DM (U3,U4,U5AUF)'!$X$5=FALSE,'HR-AZA(P)'!$X$5=FALSE)=TRUE,Bmg2Jahr1,VLOOKUP(W1,$AH$67:$AJ$124,3,0))</f>
        <v>#N/A</v>
      </c>
      <c r="V53" s="19" t="e">
        <f>U53*T53</f>
        <v>#N/A</v>
      </c>
      <c r="Y53" s="337" t="s">
        <v>139</v>
      </c>
      <c r="Z53" s="21">
        <v>0</v>
      </c>
      <c r="AA53" s="21">
        <f t="shared" si="44"/>
        <v>0</v>
      </c>
      <c r="AB53" s="21">
        <f t="shared" si="45"/>
        <v>0</v>
      </c>
      <c r="AC53" s="18" t="e">
        <f>IF(OR('HR-EU'!$W$5=FALSE,'HR-LM (U2,U5FOD,U7)'!$W$5=FALSE,'HR-DM (U3,U4,U5AUF)'!$X$5=FALSE,'HR-AZA(P)'!$X$5=FALSE)=TRUE,Bmg2Jahr1,VLOOKUP(AE1,$AH$67:$AJ$124,3,0))</f>
        <v>#N/A</v>
      </c>
      <c r="AD53" s="19" t="e">
        <f>AC53*AB53</f>
        <v>#N/A</v>
      </c>
      <c r="AG53" s="337" t="s">
        <v>139</v>
      </c>
      <c r="AH53" s="21">
        <v>0</v>
      </c>
      <c r="AI53" s="21">
        <f t="shared" si="46"/>
        <v>0</v>
      </c>
      <c r="AJ53" s="21">
        <f t="shared" si="47"/>
        <v>0</v>
      </c>
      <c r="AK53" s="18" t="e">
        <f>IF(OR('HR-EU'!$W$5=FALSE,'HR-LM (U2,U5FOD,U7)'!$W$5=FALSE,'HR-DM (U3,U4,U5AUF)'!$X$5=FALSE,'HR-AZA(P)'!$X$5=FALSE)=TRUE,Bmg2Jahr1,VLOOKUP(AM1,$AH$67:$AJ$124,3,0))</f>
        <v>#N/A</v>
      </c>
      <c r="AL53" s="19" t="e">
        <f>AK53*AJ53</f>
        <v>#N/A</v>
      </c>
      <c r="AO53" s="337" t="s">
        <v>139</v>
      </c>
      <c r="AP53" s="21">
        <v>0</v>
      </c>
      <c r="AQ53" s="21">
        <f t="shared" si="48"/>
        <v>0</v>
      </c>
      <c r="AR53" s="21">
        <f t="shared" si="49"/>
        <v>0</v>
      </c>
      <c r="AS53" s="18" t="e">
        <f>IF(OR('HR-EU'!$W$5=FALSE,'HR-LM (U2,U5FOD,U7)'!$W$5=FALSE,'HR-DM (U3,U4,U5AUF)'!$X$5=FALSE,'HR-AZA(P)'!$X$5=FALSE)=TRUE,Bmg2Jahr1,VLOOKUP(AU1,$AH$67:$AJ$124,3,0))</f>
        <v>#N/A</v>
      </c>
      <c r="AT53" s="19" t="e">
        <f>AS53*AR53</f>
        <v>#N/A</v>
      </c>
    </row>
    <row r="54" spans="1:46" s="20" customFormat="1" ht="21" customHeight="1" thickBot="1" x14ac:dyDescent="0.3">
      <c r="A54" s="337" t="s">
        <v>131</v>
      </c>
      <c r="B54" s="21" t="e">
        <f>VLOOKUP(G1,$Z$67:$AA$124,2,0)</f>
        <v>#N/A</v>
      </c>
      <c r="C54" s="21">
        <v>0</v>
      </c>
      <c r="D54" s="21" t="e">
        <f>B54</f>
        <v>#N/A</v>
      </c>
      <c r="E54" s="18" t="e">
        <f>VLOOKUP(G1,$AH$67:$AJ$124,3,0)</f>
        <v>#N/A</v>
      </c>
      <c r="F54" s="19" t="e">
        <f t="shared" si="32"/>
        <v>#N/A</v>
      </c>
      <c r="I54" s="337" t="s">
        <v>131</v>
      </c>
      <c r="J54" s="21" t="e">
        <f>VLOOKUP(O1,$Z$67:$AA$124,2,0)</f>
        <v>#N/A</v>
      </c>
      <c r="K54" s="21">
        <v>0</v>
      </c>
      <c r="L54" s="21" t="e">
        <f>J54</f>
        <v>#N/A</v>
      </c>
      <c r="M54" s="18" t="e">
        <f>IF(OR('HR-EU'!$W$5=FALSE,'HR-LM (U2,U5FOD,U7)'!$W$5=FALSE,'HR-DM (U3,U4,U5AUF)'!$X$5=FALSE,'HR-AZA(P)'!$X$5=FALSE)=TRUE,Bmg2Jahr1,VLOOKUP(O1,$AH$67:$AJ$124,3,0))</f>
        <v>#N/A</v>
      </c>
      <c r="N54" s="19" t="e">
        <f t="shared" ref="N54" si="50">M54*L54</f>
        <v>#N/A</v>
      </c>
      <c r="Q54" s="337" t="s">
        <v>131</v>
      </c>
      <c r="R54" s="21" t="e">
        <f>VLOOKUP(W1,$Z$67:$AA$124,2,0)</f>
        <v>#N/A</v>
      </c>
      <c r="S54" s="21">
        <v>0</v>
      </c>
      <c r="T54" s="21" t="e">
        <f>R54</f>
        <v>#N/A</v>
      </c>
      <c r="U54" s="18" t="e">
        <f>IF(OR('HR-EU'!$W$5=FALSE,'HR-LM (U2,U5FOD,U7)'!$W$5=FALSE,'HR-DM (U3,U4,U5AUF)'!$X$5=FALSE,'HR-AZA(P)'!$X$5=FALSE)=TRUE,Bmg2Jahr1,VLOOKUP(W1,$AH$67:$AJ$124,3,0))</f>
        <v>#N/A</v>
      </c>
      <c r="V54" s="19" t="e">
        <f t="shared" ref="V54" si="51">U54*T54</f>
        <v>#N/A</v>
      </c>
      <c r="Y54" s="337" t="s">
        <v>131</v>
      </c>
      <c r="Z54" s="21" t="e">
        <f>VLOOKUP(AE1,$Z$67:$AA$124,2,0)</f>
        <v>#N/A</v>
      </c>
      <c r="AA54" s="21">
        <v>0</v>
      </c>
      <c r="AB54" s="21" t="e">
        <f>Z54</f>
        <v>#N/A</v>
      </c>
      <c r="AC54" s="18" t="e">
        <f>IF(OR('HR-EU'!$W$5=FALSE,'HR-LM (U2,U5FOD,U7)'!$W$5=FALSE,'HR-DM (U3,U4,U5AUF)'!$X$5=FALSE,'HR-AZA(P)'!$X$5=FALSE)=TRUE,Bmg2Jahr1,VLOOKUP(AE1,$AH$67:$AJ$124,3,0))</f>
        <v>#N/A</v>
      </c>
      <c r="AD54" s="19" t="e">
        <f t="shared" ref="AD54" si="52">AC54*AB54</f>
        <v>#N/A</v>
      </c>
      <c r="AG54" s="337" t="s">
        <v>131</v>
      </c>
      <c r="AH54" s="21" t="e">
        <f>VLOOKUP(AM1,$Z$67:$AA$124,2,0)</f>
        <v>#N/A</v>
      </c>
      <c r="AI54" s="21">
        <v>0</v>
      </c>
      <c r="AJ54" s="21" t="e">
        <f>AH54</f>
        <v>#N/A</v>
      </c>
      <c r="AK54" s="18" t="e">
        <f>IF(OR('HR-EU'!$W$5=FALSE,'HR-LM (U2,U5FOD,U7)'!$W$5=FALSE,'HR-DM (U3,U4,U5AUF)'!$X$5=FALSE,'HR-AZA(P)'!$X$5=FALSE)=TRUE,Bmg2Jahr1,VLOOKUP(AM1,$AH$67:$AJ$124,3,0))</f>
        <v>#N/A</v>
      </c>
      <c r="AL54" s="19" t="e">
        <f t="shared" ref="AL54" si="53">AK54*AJ54</f>
        <v>#N/A</v>
      </c>
      <c r="AO54" s="337" t="s">
        <v>131</v>
      </c>
      <c r="AP54" s="21" t="e">
        <f>VLOOKUP(AU1,$Z$67:$AA$124,2,0)</f>
        <v>#N/A</v>
      </c>
      <c r="AQ54" s="21">
        <v>0</v>
      </c>
      <c r="AR54" s="21" t="e">
        <f>AP54</f>
        <v>#N/A</v>
      </c>
      <c r="AS54" s="18" t="e">
        <f>IF(OR('HR-EU'!$W$5=FALSE,'HR-LM (U2,U5FOD,U7)'!$W$5=FALSE,'HR-DM (U3,U4,U5AUF)'!$X$5=FALSE,'HR-AZA(P)'!$X$5=FALSE)=TRUE,Bmg2Jahr1,VLOOKUP(AU1,$AH$67:$AJ$124,3,0))</f>
        <v>#N/A</v>
      </c>
      <c r="AT54" s="19" t="e">
        <f t="shared" ref="AT54" si="54">AS54*AR54</f>
        <v>#N/A</v>
      </c>
    </row>
    <row r="55" spans="1:46" s="20" customFormat="1" ht="21" customHeight="1" thickBot="1" x14ac:dyDescent="0.3">
      <c r="A55" s="337" t="s">
        <v>42</v>
      </c>
      <c r="B55" s="21" t="e">
        <f>SUM(B49:B54)</f>
        <v>#N/A</v>
      </c>
      <c r="C55" s="21" t="e">
        <f>SUM(C49:C54)</f>
        <v>#N/A</v>
      </c>
      <c r="D55" s="21" t="e">
        <f>SUM(D49:D54)</f>
        <v>#N/A</v>
      </c>
      <c r="F55" s="19" t="e">
        <f>SUM(F49:F54)</f>
        <v>#N/A</v>
      </c>
      <c r="I55" s="337" t="s">
        <v>42</v>
      </c>
      <c r="J55" s="21" t="e">
        <f>SUM(J49:J54)</f>
        <v>#N/A</v>
      </c>
      <c r="K55" s="21" t="e">
        <f>SUM(K49:K54)</f>
        <v>#N/A</v>
      </c>
      <c r="L55" s="21" t="e">
        <f>SUM(L49:L54)</f>
        <v>#N/A</v>
      </c>
      <c r="N55" s="19" t="e">
        <f>SUM(N49:N54)</f>
        <v>#N/A</v>
      </c>
      <c r="Q55" s="337" t="s">
        <v>42</v>
      </c>
      <c r="R55" s="21" t="e">
        <f>SUM(R49:R54)</f>
        <v>#N/A</v>
      </c>
      <c r="S55" s="21" t="e">
        <f>SUM(S49:S54)</f>
        <v>#N/A</v>
      </c>
      <c r="T55" s="21" t="e">
        <f>SUM(T49:T54)</f>
        <v>#N/A</v>
      </c>
      <c r="V55" s="19" t="e">
        <f>SUM(V49:V54)</f>
        <v>#N/A</v>
      </c>
      <c r="Y55" s="337" t="s">
        <v>42</v>
      </c>
      <c r="Z55" s="21" t="e">
        <f>SUM(Z49:Z54)</f>
        <v>#N/A</v>
      </c>
      <c r="AA55" s="21" t="e">
        <f>SUM(AA49:AA54)</f>
        <v>#N/A</v>
      </c>
      <c r="AB55" s="21" t="e">
        <f>SUM(AB49:AB54)</f>
        <v>#N/A</v>
      </c>
      <c r="AD55" s="19" t="e">
        <f>SUM(AD49:AD54)</f>
        <v>#N/A</v>
      </c>
      <c r="AG55" s="337" t="s">
        <v>42</v>
      </c>
      <c r="AH55" s="21" t="e">
        <f>SUM(AH49:AH54)</f>
        <v>#N/A</v>
      </c>
      <c r="AI55" s="21" t="e">
        <f>SUM(AI49:AI54)</f>
        <v>#N/A</v>
      </c>
      <c r="AJ55" s="21" t="e">
        <f>SUM(AJ49:AJ54)</f>
        <v>#N/A</v>
      </c>
      <c r="AL55" s="19" t="e">
        <f>SUM(AL49:AL54)</f>
        <v>#N/A</v>
      </c>
      <c r="AO55" s="337" t="s">
        <v>42</v>
      </c>
      <c r="AP55" s="21" t="e">
        <f>SUM(AP49:AP54)</f>
        <v>#N/A</v>
      </c>
      <c r="AQ55" s="21" t="e">
        <f>SUM(AQ49:AQ54)</f>
        <v>#N/A</v>
      </c>
      <c r="AR55" s="21" t="e">
        <f>SUM(AR49:AR54)</f>
        <v>#N/A</v>
      </c>
      <c r="AT55" s="19" t="e">
        <f>SUM(AT49:AT54)</f>
        <v>#N/A</v>
      </c>
    </row>
    <row r="57" spans="1:46" ht="85.15" customHeight="1" x14ac:dyDescent="0.25">
      <c r="A57" s="427" t="s">
        <v>207</v>
      </c>
      <c r="B57" s="3" t="s">
        <v>142</v>
      </c>
      <c r="D57" s="390"/>
      <c r="I57" s="427" t="str">
        <f>$A$57</f>
        <v xml:space="preserve">*inkl. Durchschnittl. Zusatzbeitrag 
**Beitragssatz Arbeitnehmer = Beschäftigte mit mindestens 1 Kind oder Kinderlose Beschäftigte bis zur Vollendung des 
23. Lebensjahres </v>
      </c>
      <c r="J57" s="3" t="str">
        <f>$B$57</f>
        <v>***Referenzkasse = Techniker Krankenkasse</v>
      </c>
      <c r="Q57" s="427" t="str">
        <f>$A$57</f>
        <v xml:space="preserve">*inkl. Durchschnittl. Zusatzbeitrag 
**Beitragssatz Arbeitnehmer = Beschäftigte mit mindestens 1 Kind oder Kinderlose Beschäftigte bis zur Vollendung des 
23. Lebensjahres </v>
      </c>
      <c r="R57" s="427" t="str">
        <f>$B$57</f>
        <v>***Referenzkasse = Techniker Krankenkasse</v>
      </c>
      <c r="Y57" s="427" t="str">
        <f>$A$57</f>
        <v xml:space="preserve">*inkl. Durchschnittl. Zusatzbeitrag 
**Beitragssatz Arbeitnehmer = Beschäftigte mit mindestens 1 Kind oder Kinderlose Beschäftigte bis zur Vollendung des 
23. Lebensjahres </v>
      </c>
      <c r="Z57" s="427" t="str">
        <f>$B$57</f>
        <v>***Referenzkasse = Techniker Krankenkasse</v>
      </c>
      <c r="AG57" s="427" t="str">
        <f>$A$57</f>
        <v xml:space="preserve">*inkl. Durchschnittl. Zusatzbeitrag 
**Beitragssatz Arbeitnehmer = Beschäftigte mit mindestens 1 Kind oder Kinderlose Beschäftigte bis zur Vollendung des 
23. Lebensjahres </v>
      </c>
      <c r="AH57" s="3" t="str">
        <f>$B$57</f>
        <v>***Referenzkasse = Techniker Krankenkasse</v>
      </c>
      <c r="AO57" s="427" t="str">
        <f>$A$57</f>
        <v xml:space="preserve">*inkl. Durchschnittl. Zusatzbeitrag 
**Beitragssatz Arbeitnehmer = Beschäftigte mit mindestens 1 Kind oder Kinderlose Beschäftigte bis zur Vollendung des 
23. Lebensjahres </v>
      </c>
      <c r="AP57" s="3" t="str">
        <f>$B$57</f>
        <v>***Referenzkasse = Techniker Krankenkasse</v>
      </c>
    </row>
    <row r="59" spans="1:46" x14ac:dyDescent="0.25">
      <c r="A59" s="2" t="s">
        <v>53</v>
      </c>
      <c r="I59" s="2" t="s">
        <v>53</v>
      </c>
      <c r="Q59" s="2" t="s">
        <v>53</v>
      </c>
      <c r="Y59" s="2" t="s">
        <v>53</v>
      </c>
      <c r="AG59" s="2" t="s">
        <v>53</v>
      </c>
      <c r="AO59" s="2" t="s">
        <v>53</v>
      </c>
    </row>
    <row r="60" spans="1:46" ht="15.75" thickBot="1" x14ac:dyDescent="0.3"/>
    <row r="61" spans="1:46" ht="15.75" thickBot="1" x14ac:dyDescent="0.3">
      <c r="A61" s="335"/>
      <c r="B61" s="335" t="s">
        <v>50</v>
      </c>
      <c r="I61" s="335"/>
      <c r="J61" s="335" t="s">
        <v>50</v>
      </c>
      <c r="Q61" s="335"/>
      <c r="R61" s="335" t="s">
        <v>50</v>
      </c>
      <c r="Y61" s="335"/>
      <c r="Z61" s="335" t="s">
        <v>50</v>
      </c>
      <c r="AG61" s="335"/>
      <c r="AH61" s="335" t="s">
        <v>50</v>
      </c>
      <c r="AO61" s="335"/>
      <c r="AP61" s="335" t="s">
        <v>50</v>
      </c>
    </row>
    <row r="62" spans="1:46" ht="15.75" thickBot="1" x14ac:dyDescent="0.3">
      <c r="A62" s="336" t="s">
        <v>49</v>
      </c>
      <c r="B62" s="13" t="e">
        <f>VLOOKUP(G1,$A$67:$D$123,4)</f>
        <v>#N/A</v>
      </c>
      <c r="I62" s="336" t="s">
        <v>49</v>
      </c>
      <c r="J62" s="13" t="e">
        <f>VLOOKUP(O1,$A$67:$D$123,4)</f>
        <v>#N/A</v>
      </c>
      <c r="Q62" s="336" t="s">
        <v>49</v>
      </c>
      <c r="R62" s="13" t="e">
        <f>VLOOKUP(W1,$A$67:$D$123,4)</f>
        <v>#N/A</v>
      </c>
      <c r="Y62" s="336" t="s">
        <v>49</v>
      </c>
      <c r="Z62" s="13" t="e">
        <f>VLOOKUP(AE1,$A$67:$D$123,4)</f>
        <v>#N/A</v>
      </c>
      <c r="AG62" s="336" t="s">
        <v>49</v>
      </c>
      <c r="AH62" s="13" t="e">
        <f>VLOOKUP(AM1,$A$67:$D$123,4)</f>
        <v>#N/A</v>
      </c>
      <c r="AO62" s="336" t="s">
        <v>49</v>
      </c>
      <c r="AP62" s="13" t="e">
        <f>VLOOKUP(AU1,$A$67:$D$123,4)</f>
        <v>#N/A</v>
      </c>
    </row>
    <row r="65" spans="1:47" ht="15.75" outlineLevel="1" thickBot="1" x14ac:dyDescent="0.3"/>
    <row r="66" spans="1:47" s="366" customFormat="1" ht="18" outlineLevel="1" thickBot="1" x14ac:dyDescent="0.4">
      <c r="A66" s="884" t="s">
        <v>53</v>
      </c>
      <c r="B66" s="885"/>
      <c r="C66" s="885"/>
      <c r="D66" s="886"/>
      <c r="I66" s="889" t="s">
        <v>135</v>
      </c>
      <c r="J66" s="890"/>
      <c r="K66" s="890"/>
      <c r="L66" s="891"/>
      <c r="N66" s="889" t="s">
        <v>138</v>
      </c>
      <c r="O66" s="891"/>
      <c r="Q66" s="889" t="s">
        <v>40</v>
      </c>
      <c r="R66" s="891"/>
      <c r="T66" s="889" t="s">
        <v>140</v>
      </c>
      <c r="U66" s="891"/>
      <c r="W66" s="889" t="s">
        <v>145</v>
      </c>
      <c r="X66" s="891"/>
      <c r="Z66" s="889" t="s">
        <v>133</v>
      </c>
      <c r="AA66" s="891"/>
      <c r="AC66" s="889" t="s">
        <v>46</v>
      </c>
      <c r="AD66" s="890"/>
      <c r="AE66" s="890"/>
      <c r="AF66" s="891"/>
      <c r="AH66" s="889" t="s">
        <v>132</v>
      </c>
      <c r="AI66" s="890"/>
      <c r="AJ66" s="891"/>
      <c r="AL66" s="889" t="s">
        <v>296</v>
      </c>
      <c r="AM66" s="891"/>
      <c r="AO66" s="370" t="s">
        <v>206</v>
      </c>
      <c r="AP66" s="367" t="s">
        <v>44</v>
      </c>
      <c r="AQ66" s="369"/>
      <c r="AR66" s="369"/>
      <c r="AS66" s="369"/>
      <c r="AT66" s="369"/>
      <c r="AU66" s="368"/>
    </row>
    <row r="67" spans="1:47" ht="60" customHeight="1" outlineLevel="1" thickBot="1" x14ac:dyDescent="0.3">
      <c r="A67" s="349" t="s">
        <v>58</v>
      </c>
      <c r="B67" s="377" t="s">
        <v>104</v>
      </c>
      <c r="C67" s="377" t="s">
        <v>104</v>
      </c>
      <c r="D67" s="395"/>
      <c r="E67" s="351">
        <f>F67/100+1</f>
        <v>1.03</v>
      </c>
      <c r="F67" s="351">
        <f>G67*100</f>
        <v>3</v>
      </c>
      <c r="G67" s="397">
        <v>0.03</v>
      </c>
      <c r="I67" s="376" t="s">
        <v>58</v>
      </c>
      <c r="J67" s="376" t="s">
        <v>136</v>
      </c>
      <c r="K67" s="376" t="s">
        <v>137</v>
      </c>
      <c r="L67" s="376" t="s">
        <v>11</v>
      </c>
      <c r="N67" s="376" t="s">
        <v>58</v>
      </c>
      <c r="O67" s="376" t="s">
        <v>136</v>
      </c>
      <c r="P67" s="396"/>
      <c r="Q67" s="376" t="s">
        <v>58</v>
      </c>
      <c r="R67" s="376" t="s">
        <v>136</v>
      </c>
      <c r="S67" s="396"/>
      <c r="T67" s="376" t="s">
        <v>58</v>
      </c>
      <c r="U67" s="376" t="s">
        <v>136</v>
      </c>
      <c r="V67" s="396"/>
      <c r="W67" s="376" t="s">
        <v>58</v>
      </c>
      <c r="X67" s="376" t="s">
        <v>136</v>
      </c>
      <c r="Y67" s="396"/>
      <c r="Z67" s="376" t="s">
        <v>58</v>
      </c>
      <c r="AA67" s="376" t="s">
        <v>136</v>
      </c>
      <c r="AB67" s="396"/>
      <c r="AC67" s="376" t="s">
        <v>58</v>
      </c>
      <c r="AD67" s="376" t="s">
        <v>155</v>
      </c>
      <c r="AE67" s="376" t="s">
        <v>100</v>
      </c>
      <c r="AF67" s="376" t="s">
        <v>159</v>
      </c>
      <c r="AG67" s="396"/>
      <c r="AH67" s="349" t="s">
        <v>58</v>
      </c>
      <c r="AI67" s="377" t="s">
        <v>156</v>
      </c>
      <c r="AJ67" s="377" t="s">
        <v>157</v>
      </c>
      <c r="AL67" s="376" t="s">
        <v>58</v>
      </c>
      <c r="AM67" s="376" t="s">
        <v>136</v>
      </c>
      <c r="AN67" s="15"/>
      <c r="AO67" s="371" t="s">
        <v>27</v>
      </c>
      <c r="AP67" s="371">
        <v>1</v>
      </c>
      <c r="AQ67" s="371">
        <v>2</v>
      </c>
      <c r="AR67" s="371">
        <v>3</v>
      </c>
      <c r="AS67" s="371">
        <v>4</v>
      </c>
      <c r="AT67" s="371">
        <v>5</v>
      </c>
      <c r="AU67" s="371">
        <v>6</v>
      </c>
    </row>
    <row r="68" spans="1:47" s="15" customFormat="1" ht="15.75" outlineLevel="1" thickBot="1" x14ac:dyDescent="0.3">
      <c r="A68" s="16">
        <v>2018</v>
      </c>
      <c r="B68" s="22">
        <v>0</v>
      </c>
      <c r="C68" s="22">
        <v>0</v>
      </c>
      <c r="D68" s="43">
        <v>0</v>
      </c>
      <c r="I68" s="364">
        <v>2018</v>
      </c>
      <c r="J68" s="365">
        <v>0.14599999999999999</v>
      </c>
      <c r="K68" s="365">
        <v>0.01</v>
      </c>
      <c r="L68" s="365">
        <f>J68+K68</f>
        <v>0.156</v>
      </c>
      <c r="N68" s="364">
        <v>2018</v>
      </c>
      <c r="O68" s="365">
        <v>2.5499999999999998E-2</v>
      </c>
      <c r="Q68" s="364">
        <v>2018</v>
      </c>
      <c r="R68" s="365">
        <v>0.186</v>
      </c>
      <c r="T68" s="364">
        <v>2018</v>
      </c>
      <c r="U68" s="365">
        <v>0.03</v>
      </c>
      <c r="W68" s="364">
        <v>2018</v>
      </c>
      <c r="X68" s="350">
        <v>15.33</v>
      </c>
      <c r="Y68" s="391"/>
      <c r="Z68" s="364">
        <v>2018</v>
      </c>
      <c r="AA68" s="365">
        <v>4.8999999999999998E-3</v>
      </c>
      <c r="AC68" s="374">
        <v>2018</v>
      </c>
      <c r="AD68" s="365">
        <v>6.4500000000000002E-2</v>
      </c>
      <c r="AE68" s="365">
        <v>0.09</v>
      </c>
      <c r="AF68" s="365">
        <v>0.09</v>
      </c>
      <c r="AH68" s="16">
        <v>2018</v>
      </c>
      <c r="AI68" s="350">
        <v>4425</v>
      </c>
      <c r="AJ68" s="350">
        <v>6500</v>
      </c>
      <c r="AL68" s="364">
        <v>2018</v>
      </c>
      <c r="AM68" s="350">
        <v>0</v>
      </c>
      <c r="AO68" s="372" t="s">
        <v>28</v>
      </c>
      <c r="AP68" s="373">
        <v>0.32529999999999998</v>
      </c>
      <c r="AQ68" s="373">
        <v>0.32529999999999998</v>
      </c>
      <c r="AR68" s="373">
        <v>0.32529999999999998</v>
      </c>
      <c r="AS68" s="373">
        <v>0.32529999999999998</v>
      </c>
      <c r="AT68" s="373">
        <v>0.32529999999999998</v>
      </c>
      <c r="AU68" s="373">
        <v>0.32529999999999998</v>
      </c>
    </row>
    <row r="69" spans="1:47" ht="15.75" outlineLevel="1" thickBot="1" x14ac:dyDescent="0.3">
      <c r="A69" s="16">
        <f>A68+1</f>
        <v>2019</v>
      </c>
      <c r="B69" s="22">
        <v>0</v>
      </c>
      <c r="C69" s="22">
        <v>0</v>
      </c>
      <c r="D69" s="43">
        <f>C69/100</f>
        <v>0</v>
      </c>
      <c r="F69" s="15"/>
      <c r="G69" s="15"/>
      <c r="I69" s="16">
        <v>2019</v>
      </c>
      <c r="J69" s="365">
        <v>0.14599999999999999</v>
      </c>
      <c r="K69" s="365">
        <v>8.9999999999999993E-3</v>
      </c>
      <c r="L69" s="365">
        <f>J69+K69</f>
        <v>0.155</v>
      </c>
      <c r="N69" s="16">
        <v>2019</v>
      </c>
      <c r="O69" s="365">
        <v>3.0499999999999999E-2</v>
      </c>
      <c r="Q69" s="16">
        <v>2019</v>
      </c>
      <c r="R69" s="365">
        <v>0.186</v>
      </c>
      <c r="T69" s="16">
        <v>2019</v>
      </c>
      <c r="U69" s="365">
        <v>2.5000000000000001E-2</v>
      </c>
      <c r="W69" s="16">
        <v>2019</v>
      </c>
      <c r="X69" s="350">
        <v>15.75</v>
      </c>
      <c r="Z69" s="16">
        <v>2019</v>
      </c>
      <c r="AA69" s="365">
        <v>4.7000000000000002E-3</v>
      </c>
      <c r="AC69" s="374">
        <v>2019</v>
      </c>
      <c r="AD69" s="365">
        <v>6.4500000000000002E-2</v>
      </c>
      <c r="AE69" s="365">
        <v>7.0000000000000007E-2</v>
      </c>
      <c r="AF69" s="365">
        <v>0.09</v>
      </c>
      <c r="AH69" s="16">
        <v>2019</v>
      </c>
      <c r="AI69" s="350">
        <v>4537.5</v>
      </c>
      <c r="AJ69" s="350">
        <v>6700</v>
      </c>
      <c r="AL69" s="16">
        <v>2019</v>
      </c>
      <c r="AM69" s="350">
        <v>0</v>
      </c>
      <c r="AN69" s="15"/>
      <c r="AO69" s="372">
        <v>15</v>
      </c>
      <c r="AP69" s="373">
        <v>0.32529999999999998</v>
      </c>
      <c r="AQ69" s="373">
        <v>0.32529999999999998</v>
      </c>
      <c r="AR69" s="373">
        <v>0.32529999999999998</v>
      </c>
      <c r="AS69" s="373">
        <v>0.32529999999999998</v>
      </c>
      <c r="AT69" s="373">
        <v>0.32529999999999998</v>
      </c>
      <c r="AU69" s="373">
        <v>0.32529999999999998</v>
      </c>
    </row>
    <row r="70" spans="1:47" ht="15.75" outlineLevel="1" thickBot="1" x14ac:dyDescent="0.3">
      <c r="A70" s="16">
        <f>A69+1</f>
        <v>2020</v>
      </c>
      <c r="B70" s="22">
        <v>0</v>
      </c>
      <c r="C70" s="22">
        <v>0</v>
      </c>
      <c r="D70" s="43">
        <f t="shared" ref="D70:D123" si="55">C70/100</f>
        <v>0</v>
      </c>
      <c r="E70" s="15"/>
      <c r="F70" s="15"/>
      <c r="G70" s="15"/>
      <c r="I70" s="16">
        <v>2020</v>
      </c>
      <c r="J70" s="365">
        <v>0.14599999999999999</v>
      </c>
      <c r="K70" s="365">
        <v>1.0999999999999999E-2</v>
      </c>
      <c r="L70" s="365">
        <f>J70+K70</f>
        <v>0.157</v>
      </c>
      <c r="N70" s="16">
        <v>2020</v>
      </c>
      <c r="O70" s="365">
        <v>3.0499999999999999E-2</v>
      </c>
      <c r="Q70" s="16">
        <v>2020</v>
      </c>
      <c r="R70" s="365">
        <v>0.186</v>
      </c>
      <c r="T70" s="16">
        <v>2020</v>
      </c>
      <c r="U70" s="365">
        <v>2.4E-2</v>
      </c>
      <c r="W70" s="16">
        <v>2020</v>
      </c>
      <c r="X70" s="350">
        <v>15.25</v>
      </c>
      <c r="Z70" s="16">
        <v>2020</v>
      </c>
      <c r="AA70" s="365">
        <f>AA69</f>
        <v>4.7000000000000002E-3</v>
      </c>
      <c r="AC70" s="374">
        <v>2020</v>
      </c>
      <c r="AD70" s="365">
        <v>6.4500000000000002E-2</v>
      </c>
      <c r="AE70" s="365">
        <v>7.0000000000000007E-2</v>
      </c>
      <c r="AF70" s="365">
        <v>0.09</v>
      </c>
      <c r="AH70" s="16">
        <v>2020</v>
      </c>
      <c r="AI70" s="350">
        <v>4687.5</v>
      </c>
      <c r="AJ70" s="350">
        <v>6900</v>
      </c>
      <c r="AL70" s="16">
        <v>2020</v>
      </c>
      <c r="AM70" s="350">
        <v>0</v>
      </c>
      <c r="AN70" s="15"/>
      <c r="AO70" s="372">
        <v>14</v>
      </c>
      <c r="AP70" s="373">
        <v>0.32529999999999998</v>
      </c>
      <c r="AQ70" s="373">
        <v>0.32529999999999998</v>
      </c>
      <c r="AR70" s="373">
        <v>0.32529999999999998</v>
      </c>
      <c r="AS70" s="373">
        <v>0.32529999999999998</v>
      </c>
      <c r="AT70" s="373">
        <v>0.32529999999999998</v>
      </c>
      <c r="AU70" s="373">
        <v>0.32529999999999998</v>
      </c>
    </row>
    <row r="71" spans="1:47" ht="15.75" outlineLevel="1" thickBot="1" x14ac:dyDescent="0.3">
      <c r="A71" s="16">
        <f t="shared" ref="A71:A85" si="56">A70+1</f>
        <v>2021</v>
      </c>
      <c r="B71" s="22">
        <v>0</v>
      </c>
      <c r="C71" s="22">
        <v>0</v>
      </c>
      <c r="D71" s="43">
        <f t="shared" si="55"/>
        <v>0</v>
      </c>
      <c r="E71" s="15"/>
      <c r="F71" s="15"/>
      <c r="G71" s="15"/>
      <c r="I71" s="16">
        <v>2021</v>
      </c>
      <c r="J71" s="365">
        <v>0.14599999999999999</v>
      </c>
      <c r="K71" s="365">
        <v>1.2999999999999999E-2</v>
      </c>
      <c r="L71" s="365">
        <f t="shared" ref="L71:L124" si="57">J71+K71</f>
        <v>0.159</v>
      </c>
      <c r="N71" s="16">
        <v>2021</v>
      </c>
      <c r="O71" s="365">
        <v>3.0499999999999999E-2</v>
      </c>
      <c r="Q71" s="16">
        <v>2021</v>
      </c>
      <c r="R71" s="365">
        <v>0.186</v>
      </c>
      <c r="T71" s="16">
        <v>2021</v>
      </c>
      <c r="U71" s="365">
        <v>2.4E-2</v>
      </c>
      <c r="W71" s="16">
        <v>2021</v>
      </c>
      <c r="X71" s="350">
        <v>15</v>
      </c>
      <c r="Z71" s="16">
        <v>2021</v>
      </c>
      <c r="AA71" s="365">
        <v>5.4999999999999997E-3</v>
      </c>
      <c r="AC71" s="374">
        <v>2021</v>
      </c>
      <c r="AD71" s="365">
        <v>6.4500000000000002E-2</v>
      </c>
      <c r="AE71" s="365">
        <v>7.4999999999999997E-2</v>
      </c>
      <c r="AF71" s="365">
        <v>0.09</v>
      </c>
      <c r="AH71" s="16">
        <v>2021</v>
      </c>
      <c r="AI71" s="350">
        <v>4837.5</v>
      </c>
      <c r="AJ71" s="350">
        <v>7100</v>
      </c>
      <c r="AL71" s="16">
        <v>2021</v>
      </c>
      <c r="AM71" s="350">
        <v>0</v>
      </c>
      <c r="AN71" s="15"/>
      <c r="AO71" s="372" t="s">
        <v>29</v>
      </c>
      <c r="AP71" s="373">
        <v>0</v>
      </c>
      <c r="AQ71" s="373">
        <v>0.4647</v>
      </c>
      <c r="AR71" s="373">
        <v>0.4647</v>
      </c>
      <c r="AS71" s="373">
        <v>0.32529999999999998</v>
      </c>
      <c r="AT71" s="373">
        <v>0.32529999999999998</v>
      </c>
      <c r="AU71" s="373">
        <v>0.32529999999999998</v>
      </c>
    </row>
    <row r="72" spans="1:47" ht="15.75" outlineLevel="1" thickBot="1" x14ac:dyDescent="0.3">
      <c r="A72" s="16">
        <f t="shared" si="56"/>
        <v>2022</v>
      </c>
      <c r="B72" s="22">
        <f>B71*$E$67</f>
        <v>0</v>
      </c>
      <c r="C72" s="22">
        <v>0</v>
      </c>
      <c r="D72" s="43">
        <f t="shared" si="55"/>
        <v>0</v>
      </c>
      <c r="E72" s="382"/>
      <c r="F72" s="15"/>
      <c r="I72" s="16">
        <v>2022</v>
      </c>
      <c r="J72" s="365">
        <v>0.14599999999999999</v>
      </c>
      <c r="K72" s="365">
        <f>K71</f>
        <v>1.2999999999999999E-2</v>
      </c>
      <c r="L72" s="365">
        <f t="shared" si="57"/>
        <v>0.159</v>
      </c>
      <c r="N72" s="16">
        <v>2022</v>
      </c>
      <c r="O72" s="365">
        <v>3.0499999999999999E-2</v>
      </c>
      <c r="Q72" s="16">
        <v>2022</v>
      </c>
      <c r="R72" s="365">
        <v>0.186</v>
      </c>
      <c r="T72" s="16">
        <v>2022</v>
      </c>
      <c r="U72" s="365">
        <v>2.4E-2</v>
      </c>
      <c r="W72" s="16">
        <v>2022</v>
      </c>
      <c r="X72" s="350">
        <v>15.42</v>
      </c>
      <c r="Y72" s="391"/>
      <c r="Z72" s="16">
        <v>2022</v>
      </c>
      <c r="AA72" s="365">
        <v>6.4999999999999997E-3</v>
      </c>
      <c r="AC72" s="374">
        <v>2022</v>
      </c>
      <c r="AD72" s="365">
        <v>6.4500000000000002E-2</v>
      </c>
      <c r="AE72" s="365">
        <f>AE71</f>
        <v>7.4999999999999997E-2</v>
      </c>
      <c r="AF72" s="365">
        <v>0.09</v>
      </c>
      <c r="AH72" s="16">
        <v>2022</v>
      </c>
      <c r="AI72" s="350">
        <v>4837.5</v>
      </c>
      <c r="AJ72" s="350">
        <v>7050</v>
      </c>
      <c r="AL72" s="16">
        <v>2022</v>
      </c>
      <c r="AM72" s="350">
        <v>0</v>
      </c>
      <c r="AN72" s="15"/>
      <c r="AO72" s="372">
        <v>13</v>
      </c>
      <c r="AP72" s="373">
        <v>0.4647</v>
      </c>
      <c r="AQ72" s="373">
        <v>0.4647</v>
      </c>
      <c r="AR72" s="373">
        <v>0.4647</v>
      </c>
      <c r="AS72" s="373">
        <v>0.4647</v>
      </c>
      <c r="AT72" s="373">
        <v>0.4647</v>
      </c>
      <c r="AU72" s="373">
        <v>0.4647</v>
      </c>
    </row>
    <row r="73" spans="1:47" s="15" customFormat="1" ht="15.75" outlineLevel="1" thickBot="1" x14ac:dyDescent="0.3">
      <c r="A73" s="16">
        <f t="shared" si="56"/>
        <v>2023</v>
      </c>
      <c r="B73" s="22">
        <v>0</v>
      </c>
      <c r="C73" s="22">
        <v>0</v>
      </c>
      <c r="D73" s="43">
        <f t="shared" si="55"/>
        <v>0</v>
      </c>
      <c r="E73" s="382"/>
      <c r="I73" s="16">
        <v>2023</v>
      </c>
      <c r="J73" s="365">
        <v>0.14599999999999999</v>
      </c>
      <c r="K73" s="365">
        <v>1.6E-2</v>
      </c>
      <c r="L73" s="365">
        <f t="shared" si="57"/>
        <v>0.16200000000000001</v>
      </c>
      <c r="N73" s="16">
        <v>2023</v>
      </c>
      <c r="O73" s="365">
        <v>3.4000000000000002E-2</v>
      </c>
      <c r="Q73" s="16">
        <v>2023</v>
      </c>
      <c r="R73" s="365">
        <v>0.186</v>
      </c>
      <c r="T73" s="16">
        <v>2023</v>
      </c>
      <c r="U73" s="365">
        <v>2.5999999999999999E-2</v>
      </c>
      <c r="W73" s="16">
        <v>2023</v>
      </c>
      <c r="X73" s="350">
        <f>183/12</f>
        <v>15.25</v>
      </c>
      <c r="Z73" s="16">
        <v>2023</v>
      </c>
      <c r="AA73" s="365">
        <v>5.7999999999999996E-3</v>
      </c>
      <c r="AC73" s="374">
        <v>2023</v>
      </c>
      <c r="AD73" s="365">
        <v>6.4500000000000002E-2</v>
      </c>
      <c r="AE73" s="365">
        <v>0.08</v>
      </c>
      <c r="AF73" s="365">
        <v>0.09</v>
      </c>
      <c r="AH73" s="16">
        <v>2023</v>
      </c>
      <c r="AI73" s="350">
        <v>4987.5</v>
      </c>
      <c r="AJ73" s="350">
        <v>7300</v>
      </c>
      <c r="AL73" s="16">
        <v>2023</v>
      </c>
      <c r="AM73" s="350">
        <v>0</v>
      </c>
      <c r="AO73" s="372">
        <v>12</v>
      </c>
      <c r="AP73" s="373">
        <v>0.4647</v>
      </c>
      <c r="AQ73" s="373">
        <v>0.4647</v>
      </c>
      <c r="AR73" s="373">
        <v>0.4647</v>
      </c>
      <c r="AS73" s="373">
        <v>0.4647</v>
      </c>
      <c r="AT73" s="373">
        <v>0.4647</v>
      </c>
      <c r="AU73" s="373">
        <v>0.4647</v>
      </c>
    </row>
    <row r="74" spans="1:47" s="15" customFormat="1" ht="15.75" outlineLevel="1" thickBot="1" x14ac:dyDescent="0.3">
      <c r="A74" s="16">
        <f t="shared" si="56"/>
        <v>2024</v>
      </c>
      <c r="B74" s="22">
        <v>0</v>
      </c>
      <c r="C74" s="22">
        <v>0</v>
      </c>
      <c r="D74" s="43">
        <f t="shared" si="55"/>
        <v>0</v>
      </c>
      <c r="E74" s="382"/>
      <c r="I74" s="16">
        <v>2024</v>
      </c>
      <c r="J74" s="365">
        <v>0.14599999999999999</v>
      </c>
      <c r="K74" s="365">
        <v>1.7000000000000001E-2</v>
      </c>
      <c r="L74" s="365">
        <f t="shared" si="57"/>
        <v>0.16300000000000001</v>
      </c>
      <c r="N74" s="16">
        <v>2024</v>
      </c>
      <c r="O74" s="365">
        <f t="shared" ref="O74:O124" si="58">O73</f>
        <v>3.4000000000000002E-2</v>
      </c>
      <c r="Q74" s="16">
        <v>2024</v>
      </c>
      <c r="R74" s="365">
        <v>0.186</v>
      </c>
      <c r="T74" s="16">
        <v>2024</v>
      </c>
      <c r="U74" s="365">
        <f t="shared" ref="U74:U124" si="59">U73</f>
        <v>2.5999999999999999E-2</v>
      </c>
      <c r="W74" s="16">
        <v>2024</v>
      </c>
      <c r="X74" s="350">
        <v>18</v>
      </c>
      <c r="Z74" s="16">
        <v>2024</v>
      </c>
      <c r="AA74" s="365">
        <v>4.4000000000000003E-3</v>
      </c>
      <c r="AC74" s="374">
        <v>2024</v>
      </c>
      <c r="AD74" s="365">
        <v>6.4500000000000002E-2</v>
      </c>
      <c r="AE74" s="365">
        <f t="shared" ref="AE74:AE124" si="60">AE73</f>
        <v>0.08</v>
      </c>
      <c r="AF74" s="365">
        <v>0.09</v>
      </c>
      <c r="AH74" s="16">
        <v>2024</v>
      </c>
      <c r="AI74" s="350">
        <v>5175</v>
      </c>
      <c r="AJ74" s="350">
        <v>7550</v>
      </c>
      <c r="AL74" s="16">
        <v>2024</v>
      </c>
      <c r="AM74" s="350">
        <v>0</v>
      </c>
      <c r="AO74" s="372">
        <v>11</v>
      </c>
      <c r="AP74" s="373">
        <v>0.74350000000000005</v>
      </c>
      <c r="AQ74" s="373">
        <v>0.74350000000000005</v>
      </c>
      <c r="AR74" s="373">
        <v>0.74350000000000005</v>
      </c>
      <c r="AS74" s="373">
        <v>0.74350000000000005</v>
      </c>
      <c r="AT74" s="373">
        <v>0.74350000000000005</v>
      </c>
      <c r="AU74" s="373">
        <v>0.74350000000000005</v>
      </c>
    </row>
    <row r="75" spans="1:47" s="15" customFormat="1" ht="15.75" outlineLevel="1" thickBot="1" x14ac:dyDescent="0.3">
      <c r="A75" s="16">
        <f t="shared" si="56"/>
        <v>2025</v>
      </c>
      <c r="B75" s="22">
        <v>0</v>
      </c>
      <c r="C75" s="22">
        <v>0</v>
      </c>
      <c r="D75" s="43">
        <f t="shared" si="55"/>
        <v>0</v>
      </c>
      <c r="I75" s="16">
        <v>2025</v>
      </c>
      <c r="J75" s="365">
        <v>0.14599999999999999</v>
      </c>
      <c r="K75" s="365">
        <v>2.5000000000000001E-2</v>
      </c>
      <c r="L75" s="365">
        <f t="shared" si="57"/>
        <v>0.17100000000000001</v>
      </c>
      <c r="N75" s="16">
        <v>2025</v>
      </c>
      <c r="O75" s="365">
        <v>3.5999999999999997E-2</v>
      </c>
      <c r="Q75" s="16">
        <v>2025</v>
      </c>
      <c r="R75" s="365">
        <v>0.186</v>
      </c>
      <c r="T75" s="16">
        <v>2025</v>
      </c>
      <c r="U75" s="365">
        <f t="shared" si="59"/>
        <v>2.5999999999999999E-2</v>
      </c>
      <c r="W75" s="16">
        <v>2025</v>
      </c>
      <c r="X75" s="350">
        <v>18.25</v>
      </c>
      <c r="Z75" s="16">
        <v>2025</v>
      </c>
      <c r="AA75" s="365">
        <f t="shared" ref="AA75:AA124" si="61">AA74</f>
        <v>4.4000000000000003E-3</v>
      </c>
      <c r="AC75" s="374">
        <v>2025</v>
      </c>
      <c r="AD75" s="365">
        <v>6.4500000000000002E-2</v>
      </c>
      <c r="AE75" s="365">
        <v>7.4999999999999997E-2</v>
      </c>
      <c r="AF75" s="365">
        <v>0.09</v>
      </c>
      <c r="AH75" s="16">
        <v>2025</v>
      </c>
      <c r="AI75" s="350">
        <v>5512.5</v>
      </c>
      <c r="AJ75" s="350">
        <v>8050</v>
      </c>
      <c r="AL75" s="16">
        <v>2025</v>
      </c>
      <c r="AM75" s="350">
        <v>0</v>
      </c>
      <c r="AO75" s="372">
        <v>10</v>
      </c>
      <c r="AP75" s="373">
        <v>0.74350000000000005</v>
      </c>
      <c r="AQ75" s="373">
        <v>0.74350000000000005</v>
      </c>
      <c r="AR75" s="373">
        <v>0.74350000000000005</v>
      </c>
      <c r="AS75" s="373">
        <v>0.74350000000000005</v>
      </c>
      <c r="AT75" s="373">
        <v>0.74350000000000005</v>
      </c>
      <c r="AU75" s="373">
        <v>0.74350000000000005</v>
      </c>
    </row>
    <row r="76" spans="1:47" s="15" customFormat="1" ht="15.75" outlineLevel="1" thickBot="1" x14ac:dyDescent="0.3">
      <c r="A76" s="16">
        <f t="shared" si="56"/>
        <v>2026</v>
      </c>
      <c r="B76" s="22">
        <v>0</v>
      </c>
      <c r="C76" s="22">
        <v>0</v>
      </c>
      <c r="D76" s="43">
        <f t="shared" si="55"/>
        <v>0</v>
      </c>
      <c r="E76" s="382"/>
      <c r="F76" s="428"/>
      <c r="I76" s="16">
        <v>2026</v>
      </c>
      <c r="J76" s="365">
        <v>0.14599999999999999</v>
      </c>
      <c r="K76" s="365">
        <v>2.9000000000000001E-2</v>
      </c>
      <c r="L76" s="365">
        <f t="shared" si="57"/>
        <v>0.17499999999999999</v>
      </c>
      <c r="N76" s="16">
        <v>2026</v>
      </c>
      <c r="O76" s="365">
        <v>3.5999999999999997E-2</v>
      </c>
      <c r="Q76" s="16">
        <v>2026</v>
      </c>
      <c r="R76" s="365">
        <v>0.186</v>
      </c>
      <c r="T76" s="16">
        <v>2026</v>
      </c>
      <c r="U76" s="365">
        <f t="shared" si="59"/>
        <v>2.5999999999999999E-2</v>
      </c>
      <c r="W76" s="16">
        <v>2026</v>
      </c>
      <c r="X76" s="350">
        <f t="shared" ref="X76:X124" si="62">X75</f>
        <v>18.25</v>
      </c>
      <c r="Z76" s="16">
        <v>2026</v>
      </c>
      <c r="AA76" s="365">
        <v>4.4000000000000003E-3</v>
      </c>
      <c r="AC76" s="374">
        <v>2026</v>
      </c>
      <c r="AD76" s="365">
        <v>6.4500000000000002E-2</v>
      </c>
      <c r="AE76" s="365">
        <v>7.4999999999999997E-2</v>
      </c>
      <c r="AF76" s="365">
        <v>0.09</v>
      </c>
      <c r="AH76" s="16">
        <v>2026</v>
      </c>
      <c r="AI76" s="350">
        <v>5812.5</v>
      </c>
      <c r="AJ76" s="350">
        <v>8450</v>
      </c>
      <c r="AL76" s="16">
        <v>2026</v>
      </c>
      <c r="AM76" s="350">
        <v>15.75</v>
      </c>
      <c r="AO76" s="372" t="s">
        <v>101</v>
      </c>
      <c r="AP76" s="373">
        <v>0.74350000000000005</v>
      </c>
      <c r="AQ76" s="373">
        <v>0.74350000000000005</v>
      </c>
      <c r="AR76" s="373">
        <v>0.74350000000000005</v>
      </c>
      <c r="AS76" s="373">
        <v>0.74350000000000005</v>
      </c>
      <c r="AT76" s="373">
        <v>0.74350000000000005</v>
      </c>
      <c r="AU76" s="373">
        <v>0.74350000000000005</v>
      </c>
    </row>
    <row r="77" spans="1:47" s="15" customFormat="1" ht="15.75" outlineLevel="1" thickBot="1" x14ac:dyDescent="0.3">
      <c r="A77" s="16">
        <f t="shared" si="56"/>
        <v>2027</v>
      </c>
      <c r="B77" s="22">
        <v>0</v>
      </c>
      <c r="C77" s="22">
        <v>0</v>
      </c>
      <c r="D77" s="43">
        <f t="shared" si="55"/>
        <v>0</v>
      </c>
      <c r="E77" s="382"/>
      <c r="F77" s="428"/>
      <c r="I77" s="16">
        <v>2027</v>
      </c>
      <c r="J77" s="365">
        <f t="shared" ref="J77:J124" si="63">J76</f>
        <v>0.14599999999999999</v>
      </c>
      <c r="K77" s="365">
        <f t="shared" ref="K77:K124" si="64">K76</f>
        <v>2.9000000000000001E-2</v>
      </c>
      <c r="L77" s="365">
        <f t="shared" si="57"/>
        <v>0.17499999999999999</v>
      </c>
      <c r="N77" s="16">
        <v>2027</v>
      </c>
      <c r="O77" s="365">
        <f t="shared" si="58"/>
        <v>3.5999999999999997E-2</v>
      </c>
      <c r="Q77" s="16">
        <v>2027</v>
      </c>
      <c r="R77" s="365">
        <f t="shared" ref="R77:R124" si="65">R76</f>
        <v>0.186</v>
      </c>
      <c r="T77" s="16">
        <v>2027</v>
      </c>
      <c r="U77" s="365">
        <f t="shared" si="59"/>
        <v>2.5999999999999999E-2</v>
      </c>
      <c r="W77" s="16">
        <v>2027</v>
      </c>
      <c r="X77" s="350">
        <f t="shared" si="62"/>
        <v>18.25</v>
      </c>
      <c r="Z77" s="16">
        <v>2027</v>
      </c>
      <c r="AA77" s="365">
        <f t="shared" si="61"/>
        <v>4.4000000000000003E-3</v>
      </c>
      <c r="AC77" s="374">
        <v>2027</v>
      </c>
      <c r="AD77" s="365">
        <v>6.4500000000000002E-2</v>
      </c>
      <c r="AE77" s="365">
        <v>7.0000000000000007E-2</v>
      </c>
      <c r="AF77" s="365">
        <v>0.09</v>
      </c>
      <c r="AH77" s="16">
        <v>2027</v>
      </c>
      <c r="AI77" s="350">
        <f>$AI$76+($AI$76*D77)</f>
        <v>5812.5</v>
      </c>
      <c r="AJ77" s="350">
        <f>$AJ$76+($AJ$76*D77)</f>
        <v>8450</v>
      </c>
      <c r="AL77" s="16">
        <v>2027</v>
      </c>
      <c r="AM77" s="350">
        <f t="shared" ref="AM77:AM124" si="66">AM76</f>
        <v>15.75</v>
      </c>
      <c r="AO77" s="372">
        <v>9</v>
      </c>
      <c r="AP77" s="373">
        <v>0.74350000000000005</v>
      </c>
      <c r="AQ77" s="373">
        <v>0.74350000000000005</v>
      </c>
      <c r="AR77" s="373">
        <v>0.74350000000000005</v>
      </c>
      <c r="AS77" s="373">
        <v>0.74350000000000005</v>
      </c>
      <c r="AT77" s="373">
        <v>0.74350000000000005</v>
      </c>
      <c r="AU77" s="373">
        <v>0.74350000000000005</v>
      </c>
    </row>
    <row r="78" spans="1:47" s="15" customFormat="1" ht="15.75" outlineLevel="1" thickBot="1" x14ac:dyDescent="0.3">
      <c r="A78" s="16">
        <f t="shared" si="56"/>
        <v>2028</v>
      </c>
      <c r="B78" s="22">
        <f>1.02</f>
        <v>1.02</v>
      </c>
      <c r="C78" s="22">
        <f t="shared" ref="C78:C85" si="67">(B78*100)-100</f>
        <v>2</v>
      </c>
      <c r="D78" s="43">
        <f t="shared" si="55"/>
        <v>0.02</v>
      </c>
      <c r="E78" s="617" t="s">
        <v>303</v>
      </c>
      <c r="F78" s="428"/>
      <c r="I78" s="16">
        <v>2028</v>
      </c>
      <c r="J78" s="365">
        <f t="shared" si="63"/>
        <v>0.14599999999999999</v>
      </c>
      <c r="K78" s="365">
        <f t="shared" si="64"/>
        <v>2.9000000000000001E-2</v>
      </c>
      <c r="L78" s="365">
        <f t="shared" si="57"/>
        <v>0.17499999999999999</v>
      </c>
      <c r="N78" s="16">
        <v>2028</v>
      </c>
      <c r="O78" s="365">
        <f t="shared" si="58"/>
        <v>3.5999999999999997E-2</v>
      </c>
      <c r="Q78" s="16">
        <v>2028</v>
      </c>
      <c r="R78" s="365">
        <f t="shared" si="65"/>
        <v>0.186</v>
      </c>
      <c r="T78" s="16">
        <v>2028</v>
      </c>
      <c r="U78" s="365">
        <f t="shared" si="59"/>
        <v>2.5999999999999999E-2</v>
      </c>
      <c r="W78" s="16">
        <v>2028</v>
      </c>
      <c r="X78" s="350">
        <f t="shared" si="62"/>
        <v>18.25</v>
      </c>
      <c r="Z78" s="16">
        <v>2028</v>
      </c>
      <c r="AA78" s="365">
        <f t="shared" si="61"/>
        <v>4.4000000000000003E-3</v>
      </c>
      <c r="AC78" s="374">
        <v>2028</v>
      </c>
      <c r="AD78" s="365">
        <v>6.4500000000000002E-2</v>
      </c>
      <c r="AE78" s="365">
        <f t="shared" si="60"/>
        <v>7.0000000000000007E-2</v>
      </c>
      <c r="AF78" s="365">
        <v>0.09</v>
      </c>
      <c r="AH78" s="16">
        <v>2028</v>
      </c>
      <c r="AI78" s="350">
        <f t="shared" ref="AI78:AI124" si="68">$AI$76+($AI$76*D78)</f>
        <v>5928.75</v>
      </c>
      <c r="AJ78" s="350">
        <f t="shared" ref="AJ78:AJ124" si="69">$AJ$76+($AJ$76*D78)</f>
        <v>8619</v>
      </c>
      <c r="AL78" s="16">
        <v>2028</v>
      </c>
      <c r="AM78" s="350">
        <f t="shared" si="66"/>
        <v>15.75</v>
      </c>
      <c r="AO78" s="372">
        <v>8</v>
      </c>
      <c r="AP78" s="373">
        <v>0.88139999999999996</v>
      </c>
      <c r="AQ78" s="373">
        <v>0.88139999999999996</v>
      </c>
      <c r="AR78" s="373">
        <v>0.88139999999999996</v>
      </c>
      <c r="AS78" s="373">
        <v>0.88139999999999996</v>
      </c>
      <c r="AT78" s="373">
        <v>0.88139999999999996</v>
      </c>
      <c r="AU78" s="373">
        <v>0.88139999999999996</v>
      </c>
    </row>
    <row r="79" spans="1:47" s="15" customFormat="1" ht="15.75" outlineLevel="1" thickBot="1" x14ac:dyDescent="0.3">
      <c r="A79" s="16">
        <f t="shared" si="56"/>
        <v>2029</v>
      </c>
      <c r="B79" s="22">
        <f t="shared" ref="B79:B124" si="70">B78*$E$67</f>
        <v>1.0506</v>
      </c>
      <c r="C79" s="22">
        <f t="shared" si="67"/>
        <v>5.0599999999999996</v>
      </c>
      <c r="D79" s="43">
        <f t="shared" si="55"/>
        <v>5.0599999999999999E-2</v>
      </c>
      <c r="I79" s="16">
        <v>2029</v>
      </c>
      <c r="J79" s="365">
        <f t="shared" si="63"/>
        <v>0.14599999999999999</v>
      </c>
      <c r="K79" s="365">
        <f t="shared" si="64"/>
        <v>2.9000000000000001E-2</v>
      </c>
      <c r="L79" s="365">
        <f t="shared" si="57"/>
        <v>0.17499999999999999</v>
      </c>
      <c r="N79" s="16">
        <v>2029</v>
      </c>
      <c r="O79" s="365">
        <f t="shared" si="58"/>
        <v>3.5999999999999997E-2</v>
      </c>
      <c r="Q79" s="16">
        <v>2029</v>
      </c>
      <c r="R79" s="365">
        <f t="shared" si="65"/>
        <v>0.186</v>
      </c>
      <c r="T79" s="16">
        <v>2029</v>
      </c>
      <c r="U79" s="365">
        <f t="shared" si="59"/>
        <v>2.5999999999999999E-2</v>
      </c>
      <c r="W79" s="16">
        <v>2029</v>
      </c>
      <c r="X79" s="350">
        <f t="shared" si="62"/>
        <v>18.25</v>
      </c>
      <c r="Z79" s="16">
        <v>2029</v>
      </c>
      <c r="AA79" s="365">
        <f t="shared" si="61"/>
        <v>4.4000000000000003E-3</v>
      </c>
      <c r="AC79" s="374">
        <v>2029</v>
      </c>
      <c r="AD79" s="365">
        <v>6.4500000000000002E-2</v>
      </c>
      <c r="AE79" s="365">
        <f t="shared" si="60"/>
        <v>7.0000000000000007E-2</v>
      </c>
      <c r="AF79" s="365">
        <v>0.09</v>
      </c>
      <c r="AH79" s="16">
        <v>2029</v>
      </c>
      <c r="AI79" s="350">
        <f t="shared" si="68"/>
        <v>6106.61</v>
      </c>
      <c r="AJ79" s="350">
        <f t="shared" si="69"/>
        <v>8877.57</v>
      </c>
      <c r="AL79" s="16">
        <v>2029</v>
      </c>
      <c r="AM79" s="350">
        <f t="shared" si="66"/>
        <v>15.75</v>
      </c>
      <c r="AO79" s="372">
        <v>7</v>
      </c>
      <c r="AP79" s="373">
        <v>0.88139999999999996</v>
      </c>
      <c r="AQ79" s="373">
        <v>0.88139999999999996</v>
      </c>
      <c r="AR79" s="373">
        <v>0.88139999999999996</v>
      </c>
      <c r="AS79" s="373">
        <v>0.88139999999999996</v>
      </c>
      <c r="AT79" s="373">
        <v>0.88139999999999996</v>
      </c>
      <c r="AU79" s="373">
        <v>0.88139999999999996</v>
      </c>
    </row>
    <row r="80" spans="1:47" s="15" customFormat="1" ht="15.75" outlineLevel="1" thickBot="1" x14ac:dyDescent="0.3">
      <c r="A80" s="16">
        <f t="shared" si="56"/>
        <v>2030</v>
      </c>
      <c r="B80" s="22">
        <f t="shared" si="70"/>
        <v>1.08212</v>
      </c>
      <c r="C80" s="22">
        <f t="shared" si="67"/>
        <v>8.2119999999999997</v>
      </c>
      <c r="D80" s="43">
        <f t="shared" si="55"/>
        <v>8.2119999999999999E-2</v>
      </c>
      <c r="I80" s="16">
        <v>2030</v>
      </c>
      <c r="J80" s="365">
        <f t="shared" si="63"/>
        <v>0.14599999999999999</v>
      </c>
      <c r="K80" s="365">
        <f t="shared" si="64"/>
        <v>2.9000000000000001E-2</v>
      </c>
      <c r="L80" s="365">
        <f t="shared" si="57"/>
        <v>0.17499999999999999</v>
      </c>
      <c r="N80" s="16">
        <v>2030</v>
      </c>
      <c r="O80" s="365">
        <f t="shared" si="58"/>
        <v>3.5999999999999997E-2</v>
      </c>
      <c r="Q80" s="16">
        <v>2030</v>
      </c>
      <c r="R80" s="365">
        <f t="shared" si="65"/>
        <v>0.186</v>
      </c>
      <c r="T80" s="16">
        <v>2030</v>
      </c>
      <c r="U80" s="365">
        <f t="shared" si="59"/>
        <v>2.5999999999999999E-2</v>
      </c>
      <c r="W80" s="16">
        <v>2030</v>
      </c>
      <c r="X80" s="350">
        <f t="shared" si="62"/>
        <v>18.25</v>
      </c>
      <c r="Z80" s="16">
        <v>2030</v>
      </c>
      <c r="AA80" s="365">
        <f t="shared" si="61"/>
        <v>4.4000000000000003E-3</v>
      </c>
      <c r="AC80" s="374">
        <v>2030</v>
      </c>
      <c r="AD80" s="365">
        <v>6.4500000000000002E-2</v>
      </c>
      <c r="AE80" s="365">
        <f t="shared" si="60"/>
        <v>7.0000000000000007E-2</v>
      </c>
      <c r="AF80" s="365">
        <v>0.09</v>
      </c>
      <c r="AH80" s="16">
        <v>2030</v>
      </c>
      <c r="AI80" s="350">
        <f t="shared" si="68"/>
        <v>6289.82</v>
      </c>
      <c r="AJ80" s="350">
        <f t="shared" si="69"/>
        <v>9143.91</v>
      </c>
      <c r="AL80" s="16">
        <v>2030</v>
      </c>
      <c r="AM80" s="350">
        <f t="shared" si="66"/>
        <v>15.75</v>
      </c>
      <c r="AO80" s="372">
        <v>6</v>
      </c>
      <c r="AP80" s="373">
        <v>0.88139999999999996</v>
      </c>
      <c r="AQ80" s="373">
        <v>0.88139999999999996</v>
      </c>
      <c r="AR80" s="373">
        <v>0.88139999999999996</v>
      </c>
      <c r="AS80" s="373">
        <v>0.88139999999999996</v>
      </c>
      <c r="AT80" s="373">
        <v>0.88139999999999996</v>
      </c>
      <c r="AU80" s="373">
        <v>0.88139999999999996</v>
      </c>
    </row>
    <row r="81" spans="1:47" s="15" customFormat="1" ht="15.75" outlineLevel="1" thickBot="1" x14ac:dyDescent="0.3">
      <c r="A81" s="16">
        <f t="shared" si="56"/>
        <v>2031</v>
      </c>
      <c r="B81" s="22">
        <f t="shared" si="70"/>
        <v>1.1145799999999999</v>
      </c>
      <c r="C81" s="22">
        <f t="shared" si="67"/>
        <v>11.458</v>
      </c>
      <c r="D81" s="43">
        <f t="shared" si="55"/>
        <v>0.11458</v>
      </c>
      <c r="I81" s="16">
        <v>2031</v>
      </c>
      <c r="J81" s="365">
        <f t="shared" si="63"/>
        <v>0.14599999999999999</v>
      </c>
      <c r="K81" s="365">
        <f t="shared" si="64"/>
        <v>2.9000000000000001E-2</v>
      </c>
      <c r="L81" s="365">
        <f t="shared" si="57"/>
        <v>0.17499999999999999</v>
      </c>
      <c r="N81" s="16">
        <v>2031</v>
      </c>
      <c r="O81" s="365">
        <f t="shared" si="58"/>
        <v>3.5999999999999997E-2</v>
      </c>
      <c r="Q81" s="16">
        <v>2031</v>
      </c>
      <c r="R81" s="365">
        <f t="shared" si="65"/>
        <v>0.186</v>
      </c>
      <c r="T81" s="16">
        <v>2031</v>
      </c>
      <c r="U81" s="365">
        <f t="shared" si="59"/>
        <v>2.5999999999999999E-2</v>
      </c>
      <c r="W81" s="16">
        <v>2031</v>
      </c>
      <c r="X81" s="350">
        <f t="shared" si="62"/>
        <v>18.25</v>
      </c>
      <c r="Z81" s="16">
        <v>2031</v>
      </c>
      <c r="AA81" s="365">
        <f t="shared" si="61"/>
        <v>4.4000000000000003E-3</v>
      </c>
      <c r="AC81" s="374">
        <v>2031</v>
      </c>
      <c r="AD81" s="365">
        <v>6.4500000000000002E-2</v>
      </c>
      <c r="AE81" s="365">
        <f t="shared" si="60"/>
        <v>7.0000000000000007E-2</v>
      </c>
      <c r="AF81" s="365">
        <v>0.09</v>
      </c>
      <c r="AH81" s="16">
        <v>2031</v>
      </c>
      <c r="AI81" s="350">
        <f t="shared" si="68"/>
        <v>6478.5</v>
      </c>
      <c r="AJ81" s="350">
        <f t="shared" si="69"/>
        <v>9418.2000000000007</v>
      </c>
      <c r="AL81" s="16">
        <v>2031</v>
      </c>
      <c r="AM81" s="350">
        <f t="shared" si="66"/>
        <v>15.75</v>
      </c>
      <c r="AO81" s="372">
        <v>5</v>
      </c>
      <c r="AP81" s="373">
        <v>0.88139999999999996</v>
      </c>
      <c r="AQ81" s="373">
        <v>0.88139999999999996</v>
      </c>
      <c r="AR81" s="373">
        <v>0.88139999999999996</v>
      </c>
      <c r="AS81" s="373">
        <v>0.88139999999999996</v>
      </c>
      <c r="AT81" s="373">
        <v>0.88139999999999996</v>
      </c>
      <c r="AU81" s="373">
        <v>0.88139999999999996</v>
      </c>
    </row>
    <row r="82" spans="1:47" s="15" customFormat="1" ht="15.75" outlineLevel="1" thickBot="1" x14ac:dyDescent="0.3">
      <c r="A82" s="16">
        <f t="shared" si="56"/>
        <v>2032</v>
      </c>
      <c r="B82" s="22">
        <f t="shared" si="70"/>
        <v>1.14802</v>
      </c>
      <c r="C82" s="22">
        <f t="shared" si="67"/>
        <v>14.802</v>
      </c>
      <c r="D82" s="43">
        <f t="shared" si="55"/>
        <v>0.14802000000000001</v>
      </c>
      <c r="I82" s="16">
        <v>2032</v>
      </c>
      <c r="J82" s="365">
        <f t="shared" si="63"/>
        <v>0.14599999999999999</v>
      </c>
      <c r="K82" s="365">
        <f t="shared" si="64"/>
        <v>2.9000000000000001E-2</v>
      </c>
      <c r="L82" s="365">
        <f t="shared" si="57"/>
        <v>0.17499999999999999</v>
      </c>
      <c r="N82" s="16">
        <v>2032</v>
      </c>
      <c r="O82" s="365">
        <f t="shared" si="58"/>
        <v>3.5999999999999997E-2</v>
      </c>
      <c r="Q82" s="16">
        <v>2032</v>
      </c>
      <c r="R82" s="365">
        <f t="shared" si="65"/>
        <v>0.186</v>
      </c>
      <c r="T82" s="16">
        <v>2032</v>
      </c>
      <c r="U82" s="365">
        <f t="shared" si="59"/>
        <v>2.5999999999999999E-2</v>
      </c>
      <c r="W82" s="16">
        <v>2032</v>
      </c>
      <c r="X82" s="350">
        <f t="shared" si="62"/>
        <v>18.25</v>
      </c>
      <c r="Z82" s="16">
        <v>2032</v>
      </c>
      <c r="AA82" s="365">
        <f t="shared" si="61"/>
        <v>4.4000000000000003E-3</v>
      </c>
      <c r="AC82" s="374">
        <v>2032</v>
      </c>
      <c r="AD82" s="365">
        <v>6.4500000000000002E-2</v>
      </c>
      <c r="AE82" s="365">
        <f t="shared" si="60"/>
        <v>7.0000000000000007E-2</v>
      </c>
      <c r="AF82" s="365">
        <v>0.09</v>
      </c>
      <c r="AH82" s="16">
        <v>2032</v>
      </c>
      <c r="AI82" s="350">
        <f t="shared" si="68"/>
        <v>6672.87</v>
      </c>
      <c r="AJ82" s="350">
        <f t="shared" si="69"/>
        <v>9700.77</v>
      </c>
      <c r="AL82" s="16">
        <v>2032</v>
      </c>
      <c r="AM82" s="350">
        <f t="shared" si="66"/>
        <v>15.75</v>
      </c>
      <c r="AO82" s="372">
        <v>4</v>
      </c>
      <c r="AP82" s="373">
        <v>0.87429999999999997</v>
      </c>
      <c r="AQ82" s="373">
        <v>0.87429999999999997</v>
      </c>
      <c r="AR82" s="373">
        <v>0.87429999999999997</v>
      </c>
      <c r="AS82" s="373">
        <v>0.87429999999999997</v>
      </c>
      <c r="AT82" s="373">
        <v>0.87429999999999997</v>
      </c>
      <c r="AU82" s="373">
        <v>0.87429999999999997</v>
      </c>
    </row>
    <row r="83" spans="1:47" s="15" customFormat="1" ht="15.75" outlineLevel="1" thickBot="1" x14ac:dyDescent="0.3">
      <c r="A83" s="16">
        <f t="shared" si="56"/>
        <v>2033</v>
      </c>
      <c r="B83" s="22">
        <f t="shared" si="70"/>
        <v>1.1824600000000001</v>
      </c>
      <c r="C83" s="22">
        <f t="shared" si="67"/>
        <v>18.245999999999999</v>
      </c>
      <c r="D83" s="43">
        <f t="shared" si="55"/>
        <v>0.18246000000000001</v>
      </c>
      <c r="I83" s="16">
        <v>2033</v>
      </c>
      <c r="J83" s="365">
        <f t="shared" si="63"/>
        <v>0.14599999999999999</v>
      </c>
      <c r="K83" s="365">
        <f t="shared" si="64"/>
        <v>2.9000000000000001E-2</v>
      </c>
      <c r="L83" s="365">
        <f t="shared" si="57"/>
        <v>0.17499999999999999</v>
      </c>
      <c r="N83" s="16">
        <v>2033</v>
      </c>
      <c r="O83" s="365">
        <f t="shared" si="58"/>
        <v>3.5999999999999997E-2</v>
      </c>
      <c r="Q83" s="16">
        <v>2033</v>
      </c>
      <c r="R83" s="365">
        <f t="shared" si="65"/>
        <v>0.186</v>
      </c>
      <c r="T83" s="16">
        <v>2033</v>
      </c>
      <c r="U83" s="365">
        <f t="shared" si="59"/>
        <v>2.5999999999999999E-2</v>
      </c>
      <c r="W83" s="16">
        <v>2033</v>
      </c>
      <c r="X83" s="350">
        <f t="shared" si="62"/>
        <v>18.25</v>
      </c>
      <c r="Z83" s="16">
        <v>2033</v>
      </c>
      <c r="AA83" s="365">
        <f t="shared" si="61"/>
        <v>4.4000000000000003E-3</v>
      </c>
      <c r="AC83" s="374">
        <v>2033</v>
      </c>
      <c r="AD83" s="365">
        <v>6.4500000000000002E-2</v>
      </c>
      <c r="AE83" s="365">
        <f t="shared" si="60"/>
        <v>7.0000000000000007E-2</v>
      </c>
      <c r="AF83" s="365">
        <v>0.09</v>
      </c>
      <c r="AH83" s="16">
        <v>2033</v>
      </c>
      <c r="AI83" s="350">
        <f t="shared" si="68"/>
        <v>6873.05</v>
      </c>
      <c r="AJ83" s="350">
        <f t="shared" si="69"/>
        <v>9991.7900000000009</v>
      </c>
      <c r="AL83" s="16">
        <v>2033</v>
      </c>
      <c r="AM83" s="350">
        <f t="shared" si="66"/>
        <v>15.75</v>
      </c>
      <c r="AO83" s="372">
        <v>3</v>
      </c>
      <c r="AP83" s="373">
        <v>0.87429999999999997</v>
      </c>
      <c r="AQ83" s="373">
        <v>0.87429999999999997</v>
      </c>
      <c r="AR83" s="373">
        <v>0.87429999999999997</v>
      </c>
      <c r="AS83" s="373">
        <v>0.87429999999999997</v>
      </c>
      <c r="AT83" s="373">
        <v>0.87429999999999997</v>
      </c>
      <c r="AU83" s="373">
        <v>0.87429999999999997</v>
      </c>
    </row>
    <row r="84" spans="1:47" s="15" customFormat="1" ht="15.75" outlineLevel="1" thickBot="1" x14ac:dyDescent="0.3">
      <c r="A84" s="16">
        <f t="shared" si="56"/>
        <v>2034</v>
      </c>
      <c r="B84" s="22">
        <f t="shared" si="70"/>
        <v>1.21793</v>
      </c>
      <c r="C84" s="22">
        <f t="shared" si="67"/>
        <v>21.792999999999999</v>
      </c>
      <c r="D84" s="43">
        <f t="shared" si="55"/>
        <v>0.21793000000000001</v>
      </c>
      <c r="I84" s="16">
        <v>2034</v>
      </c>
      <c r="J84" s="365">
        <f t="shared" si="63"/>
        <v>0.14599999999999999</v>
      </c>
      <c r="K84" s="365">
        <f t="shared" si="64"/>
        <v>2.9000000000000001E-2</v>
      </c>
      <c r="L84" s="365">
        <f t="shared" si="57"/>
        <v>0.17499999999999999</v>
      </c>
      <c r="N84" s="16">
        <v>2034</v>
      </c>
      <c r="O84" s="365">
        <f t="shared" si="58"/>
        <v>3.5999999999999997E-2</v>
      </c>
      <c r="Q84" s="16">
        <v>2034</v>
      </c>
      <c r="R84" s="365">
        <f t="shared" si="65"/>
        <v>0.186</v>
      </c>
      <c r="T84" s="16">
        <v>2034</v>
      </c>
      <c r="U84" s="365">
        <f t="shared" si="59"/>
        <v>2.5999999999999999E-2</v>
      </c>
      <c r="W84" s="16">
        <v>2034</v>
      </c>
      <c r="X84" s="350">
        <f t="shared" si="62"/>
        <v>18.25</v>
      </c>
      <c r="Z84" s="16">
        <v>2034</v>
      </c>
      <c r="AA84" s="365">
        <f t="shared" si="61"/>
        <v>4.4000000000000003E-3</v>
      </c>
      <c r="AC84" s="374">
        <v>2034</v>
      </c>
      <c r="AD84" s="365">
        <v>6.4500000000000002E-2</v>
      </c>
      <c r="AE84" s="365">
        <f t="shared" si="60"/>
        <v>7.0000000000000007E-2</v>
      </c>
      <c r="AF84" s="365">
        <v>0.09</v>
      </c>
      <c r="AH84" s="16">
        <v>2034</v>
      </c>
      <c r="AI84" s="350">
        <f t="shared" si="68"/>
        <v>7079.22</v>
      </c>
      <c r="AJ84" s="350">
        <f t="shared" si="69"/>
        <v>10291.51</v>
      </c>
      <c r="AL84" s="16">
        <v>2034</v>
      </c>
      <c r="AM84" s="350">
        <f t="shared" si="66"/>
        <v>15.75</v>
      </c>
      <c r="AO84" s="372" t="s">
        <v>30</v>
      </c>
      <c r="AP84" s="373">
        <v>0.87429999999999997</v>
      </c>
      <c r="AQ84" s="373">
        <v>0.87429999999999997</v>
      </c>
      <c r="AR84" s="373">
        <v>0.87429999999999997</v>
      </c>
      <c r="AS84" s="373">
        <v>0.87429999999999997</v>
      </c>
      <c r="AT84" s="373">
        <v>0.87429999999999997</v>
      </c>
      <c r="AU84" s="373">
        <v>0.87429999999999997</v>
      </c>
    </row>
    <row r="85" spans="1:47" s="15" customFormat="1" ht="15.75" outlineLevel="1" thickBot="1" x14ac:dyDescent="0.3">
      <c r="A85" s="16">
        <f t="shared" si="56"/>
        <v>2035</v>
      </c>
      <c r="B85" s="22">
        <f t="shared" si="70"/>
        <v>1.25447</v>
      </c>
      <c r="C85" s="22">
        <f t="shared" si="67"/>
        <v>25.446999999999999</v>
      </c>
      <c r="D85" s="43">
        <f t="shared" si="55"/>
        <v>0.25446999999999997</v>
      </c>
      <c r="I85" s="16">
        <v>2035</v>
      </c>
      <c r="J85" s="365">
        <f t="shared" si="63"/>
        <v>0.14599999999999999</v>
      </c>
      <c r="K85" s="365">
        <f t="shared" si="64"/>
        <v>2.9000000000000001E-2</v>
      </c>
      <c r="L85" s="365">
        <f t="shared" si="57"/>
        <v>0.17499999999999999</v>
      </c>
      <c r="N85" s="16">
        <v>2035</v>
      </c>
      <c r="O85" s="365">
        <f t="shared" si="58"/>
        <v>3.5999999999999997E-2</v>
      </c>
      <c r="Q85" s="16">
        <v>2035</v>
      </c>
      <c r="R85" s="365">
        <f t="shared" si="65"/>
        <v>0.186</v>
      </c>
      <c r="T85" s="16">
        <v>2035</v>
      </c>
      <c r="U85" s="365">
        <f t="shared" si="59"/>
        <v>2.5999999999999999E-2</v>
      </c>
      <c r="W85" s="16">
        <v>2035</v>
      </c>
      <c r="X85" s="350">
        <f t="shared" si="62"/>
        <v>18.25</v>
      </c>
      <c r="Z85" s="16">
        <v>2035</v>
      </c>
      <c r="AA85" s="365">
        <f t="shared" si="61"/>
        <v>4.4000000000000003E-3</v>
      </c>
      <c r="AC85" s="374">
        <v>2035</v>
      </c>
      <c r="AD85" s="365">
        <v>6.4500000000000002E-2</v>
      </c>
      <c r="AE85" s="365">
        <f t="shared" si="60"/>
        <v>7.0000000000000007E-2</v>
      </c>
      <c r="AF85" s="365">
        <v>0.09</v>
      </c>
      <c r="AH85" s="16">
        <v>2035</v>
      </c>
      <c r="AI85" s="350">
        <f t="shared" si="68"/>
        <v>7291.61</v>
      </c>
      <c r="AJ85" s="350">
        <f t="shared" si="69"/>
        <v>10600.27</v>
      </c>
      <c r="AL85" s="16">
        <v>2035</v>
      </c>
      <c r="AM85" s="350">
        <f t="shared" si="66"/>
        <v>15.75</v>
      </c>
      <c r="AO85" s="372">
        <v>2</v>
      </c>
      <c r="AP85" s="373">
        <v>0.87429999999999997</v>
      </c>
      <c r="AQ85" s="373">
        <v>0.87429999999999997</v>
      </c>
      <c r="AR85" s="373">
        <v>0.87429999999999997</v>
      </c>
      <c r="AS85" s="373">
        <v>0.87429999999999997</v>
      </c>
      <c r="AT85" s="373">
        <v>0.87429999999999997</v>
      </c>
      <c r="AU85" s="373">
        <v>0.87429999999999997</v>
      </c>
    </row>
    <row r="86" spans="1:47" s="15" customFormat="1" ht="15.75" outlineLevel="1" thickBot="1" x14ac:dyDescent="0.3">
      <c r="A86" s="16">
        <f t="shared" ref="A86:A124" si="71">A85+1</f>
        <v>2036</v>
      </c>
      <c r="B86" s="22">
        <f t="shared" si="70"/>
        <v>1.2921</v>
      </c>
      <c r="C86" s="22">
        <f t="shared" ref="C86:C123" si="72">(B86*100)-100</f>
        <v>29.21</v>
      </c>
      <c r="D86" s="43">
        <f t="shared" si="55"/>
        <v>0.29210000000000003</v>
      </c>
      <c r="I86" s="16">
        <v>2036</v>
      </c>
      <c r="J86" s="365">
        <f t="shared" si="63"/>
        <v>0.14599999999999999</v>
      </c>
      <c r="K86" s="365">
        <f t="shared" si="64"/>
        <v>2.9000000000000001E-2</v>
      </c>
      <c r="L86" s="365">
        <f t="shared" si="57"/>
        <v>0.17499999999999999</v>
      </c>
      <c r="N86" s="16">
        <v>2036</v>
      </c>
      <c r="O86" s="365">
        <f t="shared" si="58"/>
        <v>3.5999999999999997E-2</v>
      </c>
      <c r="Q86" s="16">
        <v>2036</v>
      </c>
      <c r="R86" s="365">
        <f t="shared" si="65"/>
        <v>0.186</v>
      </c>
      <c r="T86" s="16">
        <v>2036</v>
      </c>
      <c r="U86" s="365">
        <f t="shared" si="59"/>
        <v>2.5999999999999999E-2</v>
      </c>
      <c r="W86" s="16">
        <v>2036</v>
      </c>
      <c r="X86" s="350">
        <f t="shared" si="62"/>
        <v>18.25</v>
      </c>
      <c r="Z86" s="16">
        <v>2036</v>
      </c>
      <c r="AA86" s="365">
        <f t="shared" si="61"/>
        <v>4.4000000000000003E-3</v>
      </c>
      <c r="AC86" s="374">
        <v>2036</v>
      </c>
      <c r="AD86" s="365">
        <v>6.4500000000000002E-2</v>
      </c>
      <c r="AE86" s="365">
        <f t="shared" si="60"/>
        <v>7.0000000000000007E-2</v>
      </c>
      <c r="AF86" s="365">
        <v>0.09</v>
      </c>
      <c r="AH86" s="16">
        <v>2036</v>
      </c>
      <c r="AI86" s="350">
        <f t="shared" si="68"/>
        <v>7510.33</v>
      </c>
      <c r="AJ86" s="350">
        <f t="shared" si="69"/>
        <v>10918.25</v>
      </c>
      <c r="AL86" s="16">
        <v>2036</v>
      </c>
      <c r="AM86" s="350">
        <f t="shared" si="66"/>
        <v>15.75</v>
      </c>
      <c r="AO86" s="372">
        <v>1</v>
      </c>
      <c r="AP86" s="373">
        <v>0</v>
      </c>
      <c r="AQ86" s="373">
        <v>0.87429999999999997</v>
      </c>
      <c r="AR86" s="373">
        <v>0.87429999999999997</v>
      </c>
      <c r="AS86" s="373">
        <v>0.87429999999999997</v>
      </c>
      <c r="AT86" s="373">
        <v>0.87429999999999997</v>
      </c>
      <c r="AU86" s="373">
        <v>0.87429999999999997</v>
      </c>
    </row>
    <row r="87" spans="1:47" s="15" customFormat="1" outlineLevel="1" x14ac:dyDescent="0.25">
      <c r="A87" s="16">
        <f t="shared" si="71"/>
        <v>2037</v>
      </c>
      <c r="B87" s="22">
        <f t="shared" si="70"/>
        <v>1.3308599999999999</v>
      </c>
      <c r="C87" s="22">
        <f t="shared" si="72"/>
        <v>33.085999999999999</v>
      </c>
      <c r="D87" s="43">
        <f t="shared" si="55"/>
        <v>0.33085999999999999</v>
      </c>
      <c r="I87" s="16">
        <v>2037</v>
      </c>
      <c r="J87" s="365">
        <f t="shared" si="63"/>
        <v>0.14599999999999999</v>
      </c>
      <c r="K87" s="365">
        <f t="shared" si="64"/>
        <v>2.9000000000000001E-2</v>
      </c>
      <c r="L87" s="365">
        <f t="shared" si="57"/>
        <v>0.17499999999999999</v>
      </c>
      <c r="N87" s="16">
        <v>2037</v>
      </c>
      <c r="O87" s="365">
        <f t="shared" si="58"/>
        <v>3.5999999999999997E-2</v>
      </c>
      <c r="Q87" s="16">
        <v>2037</v>
      </c>
      <c r="R87" s="365">
        <f t="shared" si="65"/>
        <v>0.186</v>
      </c>
      <c r="T87" s="16">
        <v>2037</v>
      </c>
      <c r="U87" s="365">
        <f t="shared" si="59"/>
        <v>2.5999999999999999E-2</v>
      </c>
      <c r="W87" s="16">
        <v>2037</v>
      </c>
      <c r="X87" s="350">
        <f t="shared" si="62"/>
        <v>18.25</v>
      </c>
      <c r="Z87" s="16">
        <v>2037</v>
      </c>
      <c r="AA87" s="365">
        <f t="shared" si="61"/>
        <v>4.4000000000000003E-3</v>
      </c>
      <c r="AC87" s="374">
        <v>2037</v>
      </c>
      <c r="AD87" s="365">
        <v>6.4500000000000002E-2</v>
      </c>
      <c r="AE87" s="365">
        <f t="shared" si="60"/>
        <v>7.0000000000000007E-2</v>
      </c>
      <c r="AF87" s="365">
        <v>0.09</v>
      </c>
      <c r="AH87" s="16">
        <v>2037</v>
      </c>
      <c r="AI87" s="350">
        <f t="shared" si="68"/>
        <v>7735.62</v>
      </c>
      <c r="AJ87" s="350">
        <f t="shared" si="69"/>
        <v>11245.77</v>
      </c>
      <c r="AL87" s="16">
        <v>2037</v>
      </c>
      <c r="AM87" s="350">
        <f t="shared" si="66"/>
        <v>15.75</v>
      </c>
      <c r="AO87" s="366"/>
      <c r="AP87" s="366"/>
      <c r="AQ87" s="366"/>
      <c r="AR87" s="366"/>
      <c r="AS87" s="366"/>
      <c r="AT87" s="366"/>
      <c r="AU87" s="366"/>
    </row>
    <row r="88" spans="1:47" s="15" customFormat="1" ht="15.75" outlineLevel="1" thickBot="1" x14ac:dyDescent="0.3">
      <c r="A88" s="16">
        <f t="shared" si="71"/>
        <v>2038</v>
      </c>
      <c r="B88" s="22">
        <f t="shared" si="70"/>
        <v>1.37079</v>
      </c>
      <c r="C88" s="22">
        <f t="shared" si="72"/>
        <v>37.079000000000001</v>
      </c>
      <c r="D88" s="43">
        <f t="shared" si="55"/>
        <v>0.37079000000000001</v>
      </c>
      <c r="I88" s="16">
        <v>2038</v>
      </c>
      <c r="J88" s="365">
        <f t="shared" si="63"/>
        <v>0.14599999999999999</v>
      </c>
      <c r="K88" s="365">
        <f t="shared" si="64"/>
        <v>2.9000000000000001E-2</v>
      </c>
      <c r="L88" s="365">
        <f t="shared" si="57"/>
        <v>0.17499999999999999</v>
      </c>
      <c r="N88" s="16">
        <v>2038</v>
      </c>
      <c r="O88" s="365">
        <f t="shared" si="58"/>
        <v>3.5999999999999997E-2</v>
      </c>
      <c r="Q88" s="16">
        <v>2038</v>
      </c>
      <c r="R88" s="365">
        <f t="shared" si="65"/>
        <v>0.186</v>
      </c>
      <c r="T88" s="16">
        <v>2038</v>
      </c>
      <c r="U88" s="365">
        <f t="shared" si="59"/>
        <v>2.5999999999999999E-2</v>
      </c>
      <c r="W88" s="16">
        <v>2038</v>
      </c>
      <c r="X88" s="350">
        <f t="shared" si="62"/>
        <v>18.25</v>
      </c>
      <c r="Z88" s="16">
        <v>2038</v>
      </c>
      <c r="AA88" s="365">
        <f t="shared" si="61"/>
        <v>4.4000000000000003E-3</v>
      </c>
      <c r="AC88" s="374">
        <v>2038</v>
      </c>
      <c r="AD88" s="365">
        <v>6.4500000000000002E-2</v>
      </c>
      <c r="AE88" s="365">
        <f t="shared" si="60"/>
        <v>7.0000000000000007E-2</v>
      </c>
      <c r="AF88" s="365">
        <v>0.09</v>
      </c>
      <c r="AH88" s="16">
        <v>2038</v>
      </c>
      <c r="AI88" s="350">
        <f t="shared" si="68"/>
        <v>7967.72</v>
      </c>
      <c r="AJ88" s="350">
        <f t="shared" si="69"/>
        <v>11583.18</v>
      </c>
      <c r="AL88" s="16">
        <v>2038</v>
      </c>
      <c r="AM88" s="350">
        <f t="shared" si="66"/>
        <v>15.75</v>
      </c>
      <c r="AO88" s="366"/>
      <c r="AP88" s="366"/>
      <c r="AQ88" s="366"/>
      <c r="AR88" s="366"/>
      <c r="AS88" s="366"/>
      <c r="AT88" s="366"/>
      <c r="AU88" s="366"/>
    </row>
    <row r="89" spans="1:47" s="15" customFormat="1" ht="15.75" outlineLevel="1" thickBot="1" x14ac:dyDescent="0.3">
      <c r="A89" s="16">
        <f t="shared" si="71"/>
        <v>2039</v>
      </c>
      <c r="B89" s="22">
        <f t="shared" si="70"/>
        <v>1.41191</v>
      </c>
      <c r="C89" s="22">
        <f t="shared" si="72"/>
        <v>41.191000000000003</v>
      </c>
      <c r="D89" s="43">
        <f t="shared" si="55"/>
        <v>0.41191</v>
      </c>
      <c r="I89" s="16">
        <v>2039</v>
      </c>
      <c r="J89" s="365">
        <f t="shared" si="63"/>
        <v>0.14599999999999999</v>
      </c>
      <c r="K89" s="365">
        <f t="shared" si="64"/>
        <v>2.9000000000000001E-2</v>
      </c>
      <c r="L89" s="365">
        <f t="shared" si="57"/>
        <v>0.17499999999999999</v>
      </c>
      <c r="N89" s="16">
        <v>2039</v>
      </c>
      <c r="O89" s="365">
        <f t="shared" si="58"/>
        <v>3.5999999999999997E-2</v>
      </c>
      <c r="Q89" s="16">
        <v>2039</v>
      </c>
      <c r="R89" s="365">
        <f t="shared" si="65"/>
        <v>0.186</v>
      </c>
      <c r="T89" s="16">
        <v>2039</v>
      </c>
      <c r="U89" s="365">
        <f t="shared" si="59"/>
        <v>2.5999999999999999E-2</v>
      </c>
      <c r="W89" s="16">
        <v>2039</v>
      </c>
      <c r="X89" s="350">
        <f t="shared" si="62"/>
        <v>18.25</v>
      </c>
      <c r="Z89" s="16">
        <v>2039</v>
      </c>
      <c r="AA89" s="365">
        <f t="shared" si="61"/>
        <v>4.4000000000000003E-3</v>
      </c>
      <c r="AC89" s="374">
        <v>2039</v>
      </c>
      <c r="AD89" s="365">
        <v>6.4500000000000002E-2</v>
      </c>
      <c r="AE89" s="365">
        <f t="shared" si="60"/>
        <v>7.0000000000000007E-2</v>
      </c>
      <c r="AF89" s="365">
        <v>0.09</v>
      </c>
      <c r="AH89" s="16">
        <v>2039</v>
      </c>
      <c r="AI89" s="350">
        <f t="shared" si="68"/>
        <v>8206.73</v>
      </c>
      <c r="AJ89" s="350">
        <f t="shared" si="69"/>
        <v>11930.64</v>
      </c>
      <c r="AL89" s="16">
        <v>2039</v>
      </c>
      <c r="AM89" s="350">
        <f t="shared" si="66"/>
        <v>15.75</v>
      </c>
      <c r="AO89" s="370">
        <v>2025</v>
      </c>
      <c r="AP89" s="367" t="s">
        <v>44</v>
      </c>
      <c r="AQ89" s="369"/>
      <c r="AR89" s="369"/>
      <c r="AS89" s="369"/>
      <c r="AT89" s="369"/>
      <c r="AU89" s="368"/>
    </row>
    <row r="90" spans="1:47" s="15" customFormat="1" ht="15.75" outlineLevel="1" thickBot="1" x14ac:dyDescent="0.3">
      <c r="A90" s="16">
        <f t="shared" si="71"/>
        <v>2040</v>
      </c>
      <c r="B90" s="22">
        <f t="shared" si="70"/>
        <v>1.45427</v>
      </c>
      <c r="C90" s="22">
        <f t="shared" si="72"/>
        <v>45.427</v>
      </c>
      <c r="D90" s="43">
        <f t="shared" si="55"/>
        <v>0.45427000000000001</v>
      </c>
      <c r="I90" s="16">
        <v>2040</v>
      </c>
      <c r="J90" s="365">
        <f t="shared" si="63"/>
        <v>0.14599999999999999</v>
      </c>
      <c r="K90" s="365">
        <f t="shared" si="64"/>
        <v>2.9000000000000001E-2</v>
      </c>
      <c r="L90" s="365">
        <f t="shared" si="57"/>
        <v>0.17499999999999999</v>
      </c>
      <c r="N90" s="16">
        <v>2040</v>
      </c>
      <c r="O90" s="365">
        <f t="shared" si="58"/>
        <v>3.5999999999999997E-2</v>
      </c>
      <c r="Q90" s="16">
        <v>2040</v>
      </c>
      <c r="R90" s="365">
        <f t="shared" si="65"/>
        <v>0.186</v>
      </c>
      <c r="T90" s="16">
        <v>2040</v>
      </c>
      <c r="U90" s="365">
        <f t="shared" si="59"/>
        <v>2.5999999999999999E-2</v>
      </c>
      <c r="W90" s="16">
        <v>2040</v>
      </c>
      <c r="X90" s="350">
        <f t="shared" si="62"/>
        <v>18.25</v>
      </c>
      <c r="Z90" s="16">
        <v>2040</v>
      </c>
      <c r="AA90" s="365">
        <f t="shared" si="61"/>
        <v>4.4000000000000003E-3</v>
      </c>
      <c r="AC90" s="374">
        <v>2040</v>
      </c>
      <c r="AD90" s="365">
        <v>6.4500000000000002E-2</v>
      </c>
      <c r="AE90" s="365">
        <f t="shared" si="60"/>
        <v>7.0000000000000007E-2</v>
      </c>
      <c r="AF90" s="365">
        <v>0.09</v>
      </c>
      <c r="AH90" s="16">
        <v>2040</v>
      </c>
      <c r="AI90" s="350">
        <f t="shared" si="68"/>
        <v>8452.94</v>
      </c>
      <c r="AJ90" s="350">
        <f t="shared" si="69"/>
        <v>12288.58</v>
      </c>
      <c r="AL90" s="16">
        <v>2040</v>
      </c>
      <c r="AM90" s="350">
        <f t="shared" si="66"/>
        <v>15.75</v>
      </c>
      <c r="AO90" s="371" t="s">
        <v>27</v>
      </c>
      <c r="AP90" s="371">
        <v>1</v>
      </c>
      <c r="AQ90" s="371">
        <v>2</v>
      </c>
      <c r="AR90" s="371">
        <v>3</v>
      </c>
      <c r="AS90" s="371">
        <v>4</v>
      </c>
      <c r="AT90" s="371">
        <v>5</v>
      </c>
      <c r="AU90" s="371">
        <v>6</v>
      </c>
    </row>
    <row r="91" spans="1:47" s="15" customFormat="1" ht="15.75" outlineLevel="1" thickBot="1" x14ac:dyDescent="0.3">
      <c r="A91" s="16">
        <f t="shared" si="71"/>
        <v>2041</v>
      </c>
      <c r="B91" s="22">
        <f t="shared" si="70"/>
        <v>1.4979</v>
      </c>
      <c r="C91" s="22">
        <f t="shared" si="72"/>
        <v>49.79</v>
      </c>
      <c r="D91" s="43">
        <f t="shared" si="55"/>
        <v>0.49790000000000001</v>
      </c>
      <c r="I91" s="16">
        <v>2041</v>
      </c>
      <c r="J91" s="365">
        <f t="shared" si="63"/>
        <v>0.14599999999999999</v>
      </c>
      <c r="K91" s="365">
        <f t="shared" si="64"/>
        <v>2.9000000000000001E-2</v>
      </c>
      <c r="L91" s="365">
        <f t="shared" si="57"/>
        <v>0.17499999999999999</v>
      </c>
      <c r="N91" s="16">
        <v>2041</v>
      </c>
      <c r="O91" s="365">
        <f t="shared" si="58"/>
        <v>3.5999999999999997E-2</v>
      </c>
      <c r="Q91" s="16">
        <v>2041</v>
      </c>
      <c r="R91" s="365">
        <f t="shared" si="65"/>
        <v>0.186</v>
      </c>
      <c r="T91" s="16">
        <v>2041</v>
      </c>
      <c r="U91" s="365">
        <f t="shared" si="59"/>
        <v>2.5999999999999999E-2</v>
      </c>
      <c r="W91" s="16">
        <v>2041</v>
      </c>
      <c r="X91" s="350">
        <f t="shared" si="62"/>
        <v>18.25</v>
      </c>
      <c r="Z91" s="16">
        <v>2041</v>
      </c>
      <c r="AA91" s="365">
        <f t="shared" si="61"/>
        <v>4.4000000000000003E-3</v>
      </c>
      <c r="AC91" s="374">
        <v>2041</v>
      </c>
      <c r="AD91" s="365">
        <v>6.4500000000000002E-2</v>
      </c>
      <c r="AE91" s="365">
        <f t="shared" si="60"/>
        <v>7.0000000000000007E-2</v>
      </c>
      <c r="AF91" s="365">
        <v>0.09</v>
      </c>
      <c r="AH91" s="16">
        <v>2041</v>
      </c>
      <c r="AI91" s="350">
        <f t="shared" si="68"/>
        <v>8706.5400000000009</v>
      </c>
      <c r="AJ91" s="350">
        <f t="shared" si="69"/>
        <v>12657.26</v>
      </c>
      <c r="AL91" s="16">
        <v>2041</v>
      </c>
      <c r="AM91" s="350">
        <f t="shared" si="66"/>
        <v>15.75</v>
      </c>
      <c r="AO91" s="372" t="s">
        <v>28</v>
      </c>
      <c r="AP91" s="373">
        <v>0.32529999999999998</v>
      </c>
      <c r="AQ91" s="373">
        <v>0.32529999999999998</v>
      </c>
      <c r="AR91" s="373">
        <v>0.32529999999999998</v>
      </c>
      <c r="AS91" s="373">
        <v>0.32529999999999998</v>
      </c>
      <c r="AT91" s="373">
        <v>0.32529999999999998</v>
      </c>
      <c r="AU91" s="373">
        <v>0.32529999999999998</v>
      </c>
    </row>
    <row r="92" spans="1:47" s="15" customFormat="1" ht="15.75" outlineLevel="1" thickBot="1" x14ac:dyDescent="0.3">
      <c r="A92" s="16">
        <f t="shared" si="71"/>
        <v>2042</v>
      </c>
      <c r="B92" s="22">
        <f t="shared" si="70"/>
        <v>1.54284</v>
      </c>
      <c r="C92" s="22">
        <f t="shared" si="72"/>
        <v>54.283999999999999</v>
      </c>
      <c r="D92" s="43">
        <f t="shared" si="55"/>
        <v>0.54283999999999999</v>
      </c>
      <c r="I92" s="16">
        <v>2042</v>
      </c>
      <c r="J92" s="365">
        <f t="shared" si="63"/>
        <v>0.14599999999999999</v>
      </c>
      <c r="K92" s="365">
        <f t="shared" si="64"/>
        <v>2.9000000000000001E-2</v>
      </c>
      <c r="L92" s="365">
        <f t="shared" si="57"/>
        <v>0.17499999999999999</v>
      </c>
      <c r="N92" s="16">
        <v>2042</v>
      </c>
      <c r="O92" s="365">
        <f t="shared" si="58"/>
        <v>3.5999999999999997E-2</v>
      </c>
      <c r="Q92" s="16">
        <v>2042</v>
      </c>
      <c r="R92" s="365">
        <f t="shared" si="65"/>
        <v>0.186</v>
      </c>
      <c r="T92" s="16">
        <v>2042</v>
      </c>
      <c r="U92" s="365">
        <f t="shared" si="59"/>
        <v>2.5999999999999999E-2</v>
      </c>
      <c r="W92" s="16">
        <v>2042</v>
      </c>
      <c r="X92" s="350">
        <f t="shared" si="62"/>
        <v>18.25</v>
      </c>
      <c r="Z92" s="16">
        <v>2042</v>
      </c>
      <c r="AA92" s="365">
        <f t="shared" si="61"/>
        <v>4.4000000000000003E-3</v>
      </c>
      <c r="AC92" s="374">
        <v>2042</v>
      </c>
      <c r="AD92" s="365">
        <v>6.4500000000000002E-2</v>
      </c>
      <c r="AE92" s="365">
        <f t="shared" si="60"/>
        <v>7.0000000000000007E-2</v>
      </c>
      <c r="AF92" s="365">
        <v>0.09</v>
      </c>
      <c r="AH92" s="16">
        <v>2042</v>
      </c>
      <c r="AI92" s="350">
        <f t="shared" si="68"/>
        <v>8967.76</v>
      </c>
      <c r="AJ92" s="350">
        <f t="shared" si="69"/>
        <v>13037</v>
      </c>
      <c r="AL92" s="16">
        <v>2042</v>
      </c>
      <c r="AM92" s="350">
        <f t="shared" si="66"/>
        <v>15.75</v>
      </c>
      <c r="AO92" s="372">
        <v>15</v>
      </c>
      <c r="AP92" s="373">
        <v>0.32529999999999998</v>
      </c>
      <c r="AQ92" s="373">
        <v>0.32529999999999998</v>
      </c>
      <c r="AR92" s="373">
        <v>0.32529999999999998</v>
      </c>
      <c r="AS92" s="373">
        <v>0.32529999999999998</v>
      </c>
      <c r="AT92" s="373">
        <v>0.32529999999999998</v>
      </c>
      <c r="AU92" s="373">
        <v>0.32529999999999998</v>
      </c>
    </row>
    <row r="93" spans="1:47" s="15" customFormat="1" ht="15.75" outlineLevel="1" thickBot="1" x14ac:dyDescent="0.3">
      <c r="A93" s="16">
        <f t="shared" si="71"/>
        <v>2043</v>
      </c>
      <c r="B93" s="22">
        <f t="shared" si="70"/>
        <v>1.5891299999999999</v>
      </c>
      <c r="C93" s="22">
        <f t="shared" si="72"/>
        <v>58.912999999999997</v>
      </c>
      <c r="D93" s="43">
        <f t="shared" si="55"/>
        <v>0.58913000000000004</v>
      </c>
      <c r="I93" s="16">
        <v>2043</v>
      </c>
      <c r="J93" s="365">
        <f t="shared" si="63"/>
        <v>0.14599999999999999</v>
      </c>
      <c r="K93" s="365">
        <f t="shared" si="64"/>
        <v>2.9000000000000001E-2</v>
      </c>
      <c r="L93" s="365">
        <f t="shared" si="57"/>
        <v>0.17499999999999999</v>
      </c>
      <c r="N93" s="16">
        <v>2043</v>
      </c>
      <c r="O93" s="365">
        <f t="shared" si="58"/>
        <v>3.5999999999999997E-2</v>
      </c>
      <c r="Q93" s="16">
        <v>2043</v>
      </c>
      <c r="R93" s="365">
        <f t="shared" si="65"/>
        <v>0.186</v>
      </c>
      <c r="T93" s="16">
        <v>2043</v>
      </c>
      <c r="U93" s="365">
        <f t="shared" si="59"/>
        <v>2.5999999999999999E-2</v>
      </c>
      <c r="W93" s="16">
        <v>2043</v>
      </c>
      <c r="X93" s="350">
        <f t="shared" si="62"/>
        <v>18.25</v>
      </c>
      <c r="Z93" s="16">
        <v>2043</v>
      </c>
      <c r="AA93" s="365">
        <f t="shared" si="61"/>
        <v>4.4000000000000003E-3</v>
      </c>
      <c r="AC93" s="374">
        <v>2043</v>
      </c>
      <c r="AD93" s="365">
        <v>6.4500000000000002E-2</v>
      </c>
      <c r="AE93" s="365">
        <f t="shared" si="60"/>
        <v>7.0000000000000007E-2</v>
      </c>
      <c r="AF93" s="365">
        <v>0.09</v>
      </c>
      <c r="AH93" s="16">
        <v>2043</v>
      </c>
      <c r="AI93" s="350">
        <f t="shared" si="68"/>
        <v>9236.82</v>
      </c>
      <c r="AJ93" s="350">
        <f t="shared" si="69"/>
        <v>13428.15</v>
      </c>
      <c r="AL93" s="16">
        <v>2043</v>
      </c>
      <c r="AM93" s="350">
        <f t="shared" si="66"/>
        <v>15.75</v>
      </c>
      <c r="AO93" s="372">
        <v>14</v>
      </c>
      <c r="AP93" s="373">
        <v>0.32529999999999998</v>
      </c>
      <c r="AQ93" s="373">
        <v>0.32529999999999998</v>
      </c>
      <c r="AR93" s="373">
        <v>0.32529999999999998</v>
      </c>
      <c r="AS93" s="373">
        <v>0.32529999999999998</v>
      </c>
      <c r="AT93" s="373">
        <v>0.32529999999999998</v>
      </c>
      <c r="AU93" s="373">
        <v>0.32529999999999998</v>
      </c>
    </row>
    <row r="94" spans="1:47" s="15" customFormat="1" ht="15.75" outlineLevel="1" thickBot="1" x14ac:dyDescent="0.3">
      <c r="A94" s="16">
        <f t="shared" si="71"/>
        <v>2044</v>
      </c>
      <c r="B94" s="22">
        <f t="shared" si="70"/>
        <v>1.6368</v>
      </c>
      <c r="C94" s="22">
        <f t="shared" si="72"/>
        <v>63.68</v>
      </c>
      <c r="D94" s="43">
        <f t="shared" si="55"/>
        <v>0.63680000000000003</v>
      </c>
      <c r="I94" s="16">
        <v>2044</v>
      </c>
      <c r="J94" s="365">
        <f t="shared" si="63"/>
        <v>0.14599999999999999</v>
      </c>
      <c r="K94" s="365">
        <f t="shared" si="64"/>
        <v>2.9000000000000001E-2</v>
      </c>
      <c r="L94" s="365">
        <f t="shared" si="57"/>
        <v>0.17499999999999999</v>
      </c>
      <c r="N94" s="16">
        <v>2044</v>
      </c>
      <c r="O94" s="365">
        <f t="shared" si="58"/>
        <v>3.5999999999999997E-2</v>
      </c>
      <c r="Q94" s="16">
        <v>2044</v>
      </c>
      <c r="R94" s="365">
        <f t="shared" si="65"/>
        <v>0.186</v>
      </c>
      <c r="T94" s="16">
        <v>2044</v>
      </c>
      <c r="U94" s="365">
        <f t="shared" si="59"/>
        <v>2.5999999999999999E-2</v>
      </c>
      <c r="W94" s="16">
        <v>2044</v>
      </c>
      <c r="X94" s="350">
        <f t="shared" si="62"/>
        <v>18.25</v>
      </c>
      <c r="Z94" s="16">
        <v>2044</v>
      </c>
      <c r="AA94" s="365">
        <f t="shared" si="61"/>
        <v>4.4000000000000003E-3</v>
      </c>
      <c r="AC94" s="374">
        <v>2044</v>
      </c>
      <c r="AD94" s="365">
        <v>6.4500000000000002E-2</v>
      </c>
      <c r="AE94" s="365">
        <f t="shared" si="60"/>
        <v>7.0000000000000007E-2</v>
      </c>
      <c r="AF94" s="365">
        <v>0.09</v>
      </c>
      <c r="AH94" s="16">
        <v>2044</v>
      </c>
      <c r="AI94" s="350">
        <f t="shared" si="68"/>
        <v>9513.9</v>
      </c>
      <c r="AJ94" s="350">
        <f t="shared" si="69"/>
        <v>13830.96</v>
      </c>
      <c r="AL94" s="16">
        <v>2044</v>
      </c>
      <c r="AM94" s="350">
        <f t="shared" si="66"/>
        <v>15.75</v>
      </c>
      <c r="AO94" s="372" t="s">
        <v>29</v>
      </c>
      <c r="AP94" s="373">
        <v>0</v>
      </c>
      <c r="AQ94" s="373">
        <v>0.4647</v>
      </c>
      <c r="AR94" s="373">
        <v>0.4647</v>
      </c>
      <c r="AS94" s="373">
        <v>0.32529999999999998</v>
      </c>
      <c r="AT94" s="373">
        <v>0.32529999999999998</v>
      </c>
      <c r="AU94" s="373">
        <v>0.32529999999999998</v>
      </c>
    </row>
    <row r="95" spans="1:47" s="15" customFormat="1" ht="15.75" outlineLevel="1" thickBot="1" x14ac:dyDescent="0.3">
      <c r="A95" s="16">
        <f t="shared" si="71"/>
        <v>2045</v>
      </c>
      <c r="B95" s="22">
        <f t="shared" si="70"/>
        <v>1.6859</v>
      </c>
      <c r="C95" s="22">
        <f t="shared" si="72"/>
        <v>68.59</v>
      </c>
      <c r="D95" s="43">
        <f t="shared" si="55"/>
        <v>0.68589999999999995</v>
      </c>
      <c r="I95" s="16">
        <v>2045</v>
      </c>
      <c r="J95" s="365">
        <f t="shared" si="63"/>
        <v>0.14599999999999999</v>
      </c>
      <c r="K95" s="365">
        <f t="shared" si="64"/>
        <v>2.9000000000000001E-2</v>
      </c>
      <c r="L95" s="365">
        <f t="shared" si="57"/>
        <v>0.17499999999999999</v>
      </c>
      <c r="N95" s="16">
        <v>2045</v>
      </c>
      <c r="O95" s="365">
        <f t="shared" si="58"/>
        <v>3.5999999999999997E-2</v>
      </c>
      <c r="Q95" s="16">
        <v>2045</v>
      </c>
      <c r="R95" s="365">
        <f t="shared" si="65"/>
        <v>0.186</v>
      </c>
      <c r="T95" s="16">
        <v>2045</v>
      </c>
      <c r="U95" s="365">
        <f t="shared" si="59"/>
        <v>2.5999999999999999E-2</v>
      </c>
      <c r="W95" s="16">
        <v>2045</v>
      </c>
      <c r="X95" s="350">
        <f t="shared" si="62"/>
        <v>18.25</v>
      </c>
      <c r="Z95" s="16">
        <v>2045</v>
      </c>
      <c r="AA95" s="365">
        <f t="shared" si="61"/>
        <v>4.4000000000000003E-3</v>
      </c>
      <c r="AC95" s="374">
        <v>2045</v>
      </c>
      <c r="AD95" s="365">
        <v>6.4500000000000002E-2</v>
      </c>
      <c r="AE95" s="365">
        <f t="shared" si="60"/>
        <v>7.0000000000000007E-2</v>
      </c>
      <c r="AF95" s="365">
        <v>0.09</v>
      </c>
      <c r="AH95" s="16">
        <v>2045</v>
      </c>
      <c r="AI95" s="350">
        <f t="shared" si="68"/>
        <v>9799.2900000000009</v>
      </c>
      <c r="AJ95" s="350">
        <f t="shared" si="69"/>
        <v>14245.86</v>
      </c>
      <c r="AL95" s="16">
        <v>2045</v>
      </c>
      <c r="AM95" s="350">
        <f t="shared" si="66"/>
        <v>15.75</v>
      </c>
      <c r="AO95" s="372">
        <v>13</v>
      </c>
      <c r="AP95" s="373">
        <v>0.4647</v>
      </c>
      <c r="AQ95" s="373">
        <v>0.4647</v>
      </c>
      <c r="AR95" s="373">
        <v>0.4647</v>
      </c>
      <c r="AS95" s="373">
        <v>0.4647</v>
      </c>
      <c r="AT95" s="373">
        <v>0.4647</v>
      </c>
      <c r="AU95" s="373">
        <v>0.4647</v>
      </c>
    </row>
    <row r="96" spans="1:47" s="15" customFormat="1" ht="15.75" outlineLevel="1" thickBot="1" x14ac:dyDescent="0.3">
      <c r="A96" s="16">
        <f t="shared" si="71"/>
        <v>2046</v>
      </c>
      <c r="B96" s="22">
        <f t="shared" si="70"/>
        <v>1.73648</v>
      </c>
      <c r="C96" s="22">
        <f t="shared" si="72"/>
        <v>73.647999999999996</v>
      </c>
      <c r="D96" s="43">
        <f t="shared" si="55"/>
        <v>0.73648000000000002</v>
      </c>
      <c r="I96" s="16">
        <v>2046</v>
      </c>
      <c r="J96" s="365">
        <f t="shared" si="63"/>
        <v>0.14599999999999999</v>
      </c>
      <c r="K96" s="365">
        <f t="shared" si="64"/>
        <v>2.9000000000000001E-2</v>
      </c>
      <c r="L96" s="365">
        <f t="shared" si="57"/>
        <v>0.17499999999999999</v>
      </c>
      <c r="N96" s="16">
        <v>2046</v>
      </c>
      <c r="O96" s="365">
        <f t="shared" si="58"/>
        <v>3.5999999999999997E-2</v>
      </c>
      <c r="Q96" s="16">
        <v>2046</v>
      </c>
      <c r="R96" s="365">
        <f t="shared" si="65"/>
        <v>0.186</v>
      </c>
      <c r="T96" s="16">
        <v>2046</v>
      </c>
      <c r="U96" s="365">
        <f t="shared" si="59"/>
        <v>2.5999999999999999E-2</v>
      </c>
      <c r="W96" s="16">
        <v>2046</v>
      </c>
      <c r="X96" s="350">
        <f t="shared" si="62"/>
        <v>18.25</v>
      </c>
      <c r="Z96" s="16">
        <v>2046</v>
      </c>
      <c r="AA96" s="365">
        <f t="shared" si="61"/>
        <v>4.4000000000000003E-3</v>
      </c>
      <c r="AC96" s="374">
        <v>2046</v>
      </c>
      <c r="AD96" s="365">
        <v>6.4500000000000002E-2</v>
      </c>
      <c r="AE96" s="365">
        <f t="shared" si="60"/>
        <v>7.0000000000000007E-2</v>
      </c>
      <c r="AF96" s="365">
        <v>0.09</v>
      </c>
      <c r="AH96" s="16">
        <v>2046</v>
      </c>
      <c r="AI96" s="350">
        <f t="shared" si="68"/>
        <v>10093.290000000001</v>
      </c>
      <c r="AJ96" s="350">
        <f t="shared" si="69"/>
        <v>14673.26</v>
      </c>
      <c r="AL96" s="16">
        <v>2046</v>
      </c>
      <c r="AM96" s="350">
        <f t="shared" si="66"/>
        <v>15.75</v>
      </c>
      <c r="AO96" s="372">
        <v>12</v>
      </c>
      <c r="AP96" s="373">
        <v>0.4647</v>
      </c>
      <c r="AQ96" s="373">
        <v>0.4647</v>
      </c>
      <c r="AR96" s="373">
        <v>0.4647</v>
      </c>
      <c r="AS96" s="373">
        <v>0.4647</v>
      </c>
      <c r="AT96" s="373">
        <v>0.4647</v>
      </c>
      <c r="AU96" s="373">
        <v>0.4647</v>
      </c>
    </row>
    <row r="97" spans="1:47" s="15" customFormat="1" ht="15.75" outlineLevel="1" thickBot="1" x14ac:dyDescent="0.3">
      <c r="A97" s="16">
        <f t="shared" si="71"/>
        <v>2047</v>
      </c>
      <c r="B97" s="22">
        <f t="shared" si="70"/>
        <v>1.78857</v>
      </c>
      <c r="C97" s="22">
        <f t="shared" si="72"/>
        <v>78.856999999999999</v>
      </c>
      <c r="D97" s="43">
        <f t="shared" si="55"/>
        <v>0.78856999999999999</v>
      </c>
      <c r="I97" s="16">
        <v>2047</v>
      </c>
      <c r="J97" s="365">
        <f t="shared" si="63"/>
        <v>0.14599999999999999</v>
      </c>
      <c r="K97" s="365">
        <f t="shared" si="64"/>
        <v>2.9000000000000001E-2</v>
      </c>
      <c r="L97" s="365">
        <f t="shared" si="57"/>
        <v>0.17499999999999999</v>
      </c>
      <c r="N97" s="16">
        <v>2047</v>
      </c>
      <c r="O97" s="365">
        <f t="shared" si="58"/>
        <v>3.5999999999999997E-2</v>
      </c>
      <c r="Q97" s="16">
        <v>2047</v>
      </c>
      <c r="R97" s="365">
        <f t="shared" si="65"/>
        <v>0.186</v>
      </c>
      <c r="T97" s="16">
        <v>2047</v>
      </c>
      <c r="U97" s="365">
        <f t="shared" si="59"/>
        <v>2.5999999999999999E-2</v>
      </c>
      <c r="W97" s="16">
        <v>2047</v>
      </c>
      <c r="X97" s="350">
        <f t="shared" si="62"/>
        <v>18.25</v>
      </c>
      <c r="Z97" s="16">
        <v>2047</v>
      </c>
      <c r="AA97" s="365">
        <f t="shared" si="61"/>
        <v>4.4000000000000003E-3</v>
      </c>
      <c r="AC97" s="374">
        <v>2047</v>
      </c>
      <c r="AD97" s="365">
        <v>6.4500000000000002E-2</v>
      </c>
      <c r="AE97" s="365">
        <f t="shared" si="60"/>
        <v>7.0000000000000007E-2</v>
      </c>
      <c r="AF97" s="365">
        <v>0.09</v>
      </c>
      <c r="AH97" s="16">
        <v>2047</v>
      </c>
      <c r="AI97" s="350">
        <f t="shared" si="68"/>
        <v>10396.06</v>
      </c>
      <c r="AJ97" s="350">
        <f t="shared" si="69"/>
        <v>15113.42</v>
      </c>
      <c r="AL97" s="16">
        <v>2047</v>
      </c>
      <c r="AM97" s="350">
        <f t="shared" si="66"/>
        <v>15.75</v>
      </c>
      <c r="AO97" s="372">
        <v>11</v>
      </c>
      <c r="AP97" s="373">
        <v>0.74350000000000005</v>
      </c>
      <c r="AQ97" s="373">
        <v>0.74350000000000005</v>
      </c>
      <c r="AR97" s="373">
        <v>0.74350000000000005</v>
      </c>
      <c r="AS97" s="373">
        <v>0.74350000000000005</v>
      </c>
      <c r="AT97" s="373">
        <v>0.74350000000000005</v>
      </c>
      <c r="AU97" s="373">
        <v>0.74350000000000005</v>
      </c>
    </row>
    <row r="98" spans="1:47" s="15" customFormat="1" ht="15.75" outlineLevel="1" thickBot="1" x14ac:dyDescent="0.3">
      <c r="A98" s="16">
        <f t="shared" si="71"/>
        <v>2048</v>
      </c>
      <c r="B98" s="22">
        <f t="shared" si="70"/>
        <v>1.84223</v>
      </c>
      <c r="C98" s="22">
        <f t="shared" si="72"/>
        <v>84.222999999999999</v>
      </c>
      <c r="D98" s="43">
        <f t="shared" si="55"/>
        <v>0.84223000000000003</v>
      </c>
      <c r="I98" s="16">
        <v>2048</v>
      </c>
      <c r="J98" s="365">
        <f t="shared" si="63"/>
        <v>0.14599999999999999</v>
      </c>
      <c r="K98" s="365">
        <f t="shared" si="64"/>
        <v>2.9000000000000001E-2</v>
      </c>
      <c r="L98" s="365">
        <f t="shared" si="57"/>
        <v>0.17499999999999999</v>
      </c>
      <c r="N98" s="16">
        <v>2048</v>
      </c>
      <c r="O98" s="365">
        <f t="shared" si="58"/>
        <v>3.5999999999999997E-2</v>
      </c>
      <c r="Q98" s="16">
        <v>2048</v>
      </c>
      <c r="R98" s="365">
        <f t="shared" si="65"/>
        <v>0.186</v>
      </c>
      <c r="T98" s="16">
        <v>2048</v>
      </c>
      <c r="U98" s="365">
        <f t="shared" si="59"/>
        <v>2.5999999999999999E-2</v>
      </c>
      <c r="W98" s="16">
        <v>2048</v>
      </c>
      <c r="X98" s="350">
        <f t="shared" si="62"/>
        <v>18.25</v>
      </c>
      <c r="Z98" s="16">
        <v>2048</v>
      </c>
      <c r="AA98" s="365">
        <f t="shared" si="61"/>
        <v>4.4000000000000003E-3</v>
      </c>
      <c r="AC98" s="374">
        <v>2048</v>
      </c>
      <c r="AD98" s="365">
        <v>6.4500000000000002E-2</v>
      </c>
      <c r="AE98" s="365">
        <f t="shared" si="60"/>
        <v>7.0000000000000007E-2</v>
      </c>
      <c r="AF98" s="365">
        <v>0.09</v>
      </c>
      <c r="AH98" s="16">
        <v>2048</v>
      </c>
      <c r="AI98" s="350">
        <f t="shared" si="68"/>
        <v>10707.96</v>
      </c>
      <c r="AJ98" s="350">
        <f t="shared" si="69"/>
        <v>15566.84</v>
      </c>
      <c r="AL98" s="16">
        <v>2048</v>
      </c>
      <c r="AM98" s="350">
        <f t="shared" si="66"/>
        <v>15.75</v>
      </c>
      <c r="AO98" s="372">
        <v>10</v>
      </c>
      <c r="AP98" s="373">
        <v>0.74350000000000005</v>
      </c>
      <c r="AQ98" s="373">
        <v>0.74350000000000005</v>
      </c>
      <c r="AR98" s="373">
        <v>0.74350000000000005</v>
      </c>
      <c r="AS98" s="373">
        <v>0.74350000000000005</v>
      </c>
      <c r="AT98" s="373">
        <v>0.74350000000000005</v>
      </c>
      <c r="AU98" s="373">
        <v>0.74350000000000005</v>
      </c>
    </row>
    <row r="99" spans="1:47" s="15" customFormat="1" ht="15.75" outlineLevel="1" thickBot="1" x14ac:dyDescent="0.3">
      <c r="A99" s="16">
        <f t="shared" si="71"/>
        <v>2049</v>
      </c>
      <c r="B99" s="22">
        <f t="shared" si="70"/>
        <v>1.8975</v>
      </c>
      <c r="C99" s="22">
        <f t="shared" si="72"/>
        <v>89.75</v>
      </c>
      <c r="D99" s="43">
        <f t="shared" si="55"/>
        <v>0.89749999999999996</v>
      </c>
      <c r="I99" s="16">
        <v>2049</v>
      </c>
      <c r="J99" s="365">
        <f t="shared" si="63"/>
        <v>0.14599999999999999</v>
      </c>
      <c r="K99" s="365">
        <f t="shared" si="64"/>
        <v>2.9000000000000001E-2</v>
      </c>
      <c r="L99" s="365">
        <f t="shared" si="57"/>
        <v>0.17499999999999999</v>
      </c>
      <c r="N99" s="16">
        <v>2049</v>
      </c>
      <c r="O99" s="365">
        <f t="shared" si="58"/>
        <v>3.5999999999999997E-2</v>
      </c>
      <c r="Q99" s="16">
        <v>2049</v>
      </c>
      <c r="R99" s="365">
        <f t="shared" si="65"/>
        <v>0.186</v>
      </c>
      <c r="T99" s="16">
        <v>2049</v>
      </c>
      <c r="U99" s="365">
        <f t="shared" si="59"/>
        <v>2.5999999999999999E-2</v>
      </c>
      <c r="W99" s="16">
        <v>2049</v>
      </c>
      <c r="X99" s="350">
        <f t="shared" si="62"/>
        <v>18.25</v>
      </c>
      <c r="Z99" s="16">
        <v>2049</v>
      </c>
      <c r="AA99" s="365">
        <f t="shared" si="61"/>
        <v>4.4000000000000003E-3</v>
      </c>
      <c r="AC99" s="374">
        <v>2049</v>
      </c>
      <c r="AD99" s="365">
        <v>6.4500000000000002E-2</v>
      </c>
      <c r="AE99" s="365">
        <f t="shared" si="60"/>
        <v>7.0000000000000007E-2</v>
      </c>
      <c r="AF99" s="365">
        <v>0.09</v>
      </c>
      <c r="AH99" s="16">
        <v>2049</v>
      </c>
      <c r="AI99" s="350">
        <f t="shared" si="68"/>
        <v>11029.22</v>
      </c>
      <c r="AJ99" s="350">
        <f t="shared" si="69"/>
        <v>16033.88</v>
      </c>
      <c r="AL99" s="16">
        <v>2049</v>
      </c>
      <c r="AM99" s="350">
        <f t="shared" si="66"/>
        <v>15.75</v>
      </c>
      <c r="AO99" s="372" t="s">
        <v>101</v>
      </c>
      <c r="AP99" s="373">
        <v>0.74350000000000005</v>
      </c>
      <c r="AQ99" s="373">
        <v>0.74350000000000005</v>
      </c>
      <c r="AR99" s="373">
        <v>0.74350000000000005</v>
      </c>
      <c r="AS99" s="373">
        <v>0.74350000000000005</v>
      </c>
      <c r="AT99" s="373">
        <v>0.74350000000000005</v>
      </c>
      <c r="AU99" s="373">
        <v>0.74350000000000005</v>
      </c>
    </row>
    <row r="100" spans="1:47" s="15" customFormat="1" ht="15.75" outlineLevel="1" thickBot="1" x14ac:dyDescent="0.3">
      <c r="A100" s="16">
        <f t="shared" si="71"/>
        <v>2050</v>
      </c>
      <c r="B100" s="22">
        <f t="shared" si="70"/>
        <v>1.9544299999999999</v>
      </c>
      <c r="C100" s="22">
        <f t="shared" si="72"/>
        <v>95.442999999999998</v>
      </c>
      <c r="D100" s="43">
        <f t="shared" si="55"/>
        <v>0.95443</v>
      </c>
      <c r="I100" s="16">
        <v>2050</v>
      </c>
      <c r="J100" s="365">
        <f t="shared" si="63"/>
        <v>0.14599999999999999</v>
      </c>
      <c r="K100" s="365">
        <f t="shared" si="64"/>
        <v>2.9000000000000001E-2</v>
      </c>
      <c r="L100" s="365">
        <f t="shared" si="57"/>
        <v>0.17499999999999999</v>
      </c>
      <c r="N100" s="16">
        <v>2050</v>
      </c>
      <c r="O100" s="365">
        <f t="shared" si="58"/>
        <v>3.5999999999999997E-2</v>
      </c>
      <c r="Q100" s="16">
        <v>2050</v>
      </c>
      <c r="R100" s="365">
        <f t="shared" si="65"/>
        <v>0.186</v>
      </c>
      <c r="T100" s="16">
        <v>2050</v>
      </c>
      <c r="U100" s="365">
        <f t="shared" si="59"/>
        <v>2.5999999999999999E-2</v>
      </c>
      <c r="W100" s="16">
        <v>2050</v>
      </c>
      <c r="X100" s="350">
        <f t="shared" si="62"/>
        <v>18.25</v>
      </c>
      <c r="Z100" s="16">
        <v>2050</v>
      </c>
      <c r="AA100" s="365">
        <f t="shared" si="61"/>
        <v>4.4000000000000003E-3</v>
      </c>
      <c r="AC100" s="374">
        <v>2050</v>
      </c>
      <c r="AD100" s="365">
        <v>6.4500000000000002E-2</v>
      </c>
      <c r="AE100" s="365">
        <f t="shared" si="60"/>
        <v>7.0000000000000007E-2</v>
      </c>
      <c r="AF100" s="365">
        <v>0.09</v>
      </c>
      <c r="AH100" s="16">
        <v>2050</v>
      </c>
      <c r="AI100" s="350">
        <f t="shared" si="68"/>
        <v>11360.12</v>
      </c>
      <c r="AJ100" s="350">
        <f t="shared" si="69"/>
        <v>16514.93</v>
      </c>
      <c r="AL100" s="16">
        <v>2050</v>
      </c>
      <c r="AM100" s="350">
        <f t="shared" si="66"/>
        <v>15.75</v>
      </c>
      <c r="AO100" s="372">
        <v>9</v>
      </c>
      <c r="AP100" s="373">
        <v>0.74350000000000005</v>
      </c>
      <c r="AQ100" s="373">
        <v>0.74350000000000005</v>
      </c>
      <c r="AR100" s="373">
        <v>0.74350000000000005</v>
      </c>
      <c r="AS100" s="373">
        <v>0.74350000000000005</v>
      </c>
      <c r="AT100" s="373">
        <v>0.74350000000000005</v>
      </c>
      <c r="AU100" s="373">
        <v>0.74350000000000005</v>
      </c>
    </row>
    <row r="101" spans="1:47" s="15" customFormat="1" ht="15.75" outlineLevel="1" thickBot="1" x14ac:dyDescent="0.3">
      <c r="A101" s="16">
        <f t="shared" si="71"/>
        <v>2051</v>
      </c>
      <c r="B101" s="22">
        <f t="shared" si="70"/>
        <v>2.0130599999999998</v>
      </c>
      <c r="C101" s="22">
        <f t="shared" si="72"/>
        <v>101.306</v>
      </c>
      <c r="D101" s="43">
        <f t="shared" si="55"/>
        <v>1.0130600000000001</v>
      </c>
      <c r="I101" s="16">
        <v>2051</v>
      </c>
      <c r="J101" s="365">
        <f t="shared" si="63"/>
        <v>0.14599999999999999</v>
      </c>
      <c r="K101" s="365">
        <f t="shared" si="64"/>
        <v>2.9000000000000001E-2</v>
      </c>
      <c r="L101" s="365">
        <f t="shared" si="57"/>
        <v>0.17499999999999999</v>
      </c>
      <c r="N101" s="16">
        <v>2051</v>
      </c>
      <c r="O101" s="365">
        <f t="shared" si="58"/>
        <v>3.5999999999999997E-2</v>
      </c>
      <c r="Q101" s="16">
        <v>2051</v>
      </c>
      <c r="R101" s="365">
        <f t="shared" si="65"/>
        <v>0.186</v>
      </c>
      <c r="T101" s="16">
        <v>2051</v>
      </c>
      <c r="U101" s="365">
        <f t="shared" si="59"/>
        <v>2.5999999999999999E-2</v>
      </c>
      <c r="W101" s="16">
        <v>2051</v>
      </c>
      <c r="X101" s="350">
        <f t="shared" si="62"/>
        <v>18.25</v>
      </c>
      <c r="Z101" s="16">
        <v>2051</v>
      </c>
      <c r="AA101" s="365">
        <f t="shared" si="61"/>
        <v>4.4000000000000003E-3</v>
      </c>
      <c r="AC101" s="374">
        <v>2051</v>
      </c>
      <c r="AD101" s="365">
        <v>6.4500000000000002E-2</v>
      </c>
      <c r="AE101" s="365">
        <f t="shared" si="60"/>
        <v>7.0000000000000007E-2</v>
      </c>
      <c r="AF101" s="365">
        <v>0.09</v>
      </c>
      <c r="AH101" s="16">
        <v>2051</v>
      </c>
      <c r="AI101" s="350">
        <f t="shared" si="68"/>
        <v>11700.91</v>
      </c>
      <c r="AJ101" s="350">
        <f t="shared" si="69"/>
        <v>17010.36</v>
      </c>
      <c r="AL101" s="16">
        <v>2051</v>
      </c>
      <c r="AM101" s="350">
        <f t="shared" si="66"/>
        <v>15.75</v>
      </c>
      <c r="AO101" s="372">
        <v>8</v>
      </c>
      <c r="AP101" s="373">
        <v>0.88139999999999996</v>
      </c>
      <c r="AQ101" s="373">
        <v>0.88139999999999996</v>
      </c>
      <c r="AR101" s="373">
        <v>0.88139999999999996</v>
      </c>
      <c r="AS101" s="373">
        <v>0.88139999999999996</v>
      </c>
      <c r="AT101" s="373">
        <v>0.88139999999999996</v>
      </c>
      <c r="AU101" s="373">
        <v>0.88139999999999996</v>
      </c>
    </row>
    <row r="102" spans="1:47" s="15" customFormat="1" ht="15.75" outlineLevel="1" thickBot="1" x14ac:dyDescent="0.3">
      <c r="A102" s="16">
        <f t="shared" si="71"/>
        <v>2052</v>
      </c>
      <c r="B102" s="22">
        <f t="shared" si="70"/>
        <v>2.0734499999999998</v>
      </c>
      <c r="C102" s="22">
        <f t="shared" si="72"/>
        <v>107.345</v>
      </c>
      <c r="D102" s="43">
        <f t="shared" si="55"/>
        <v>1.07345</v>
      </c>
      <c r="I102" s="16">
        <v>2052</v>
      </c>
      <c r="J102" s="365">
        <f t="shared" si="63"/>
        <v>0.14599999999999999</v>
      </c>
      <c r="K102" s="365">
        <f t="shared" si="64"/>
        <v>2.9000000000000001E-2</v>
      </c>
      <c r="L102" s="365">
        <f t="shared" si="57"/>
        <v>0.17499999999999999</v>
      </c>
      <c r="N102" s="16">
        <v>2052</v>
      </c>
      <c r="O102" s="365">
        <f t="shared" si="58"/>
        <v>3.5999999999999997E-2</v>
      </c>
      <c r="Q102" s="16">
        <v>2052</v>
      </c>
      <c r="R102" s="365">
        <f t="shared" si="65"/>
        <v>0.186</v>
      </c>
      <c r="T102" s="16">
        <v>2052</v>
      </c>
      <c r="U102" s="365">
        <f t="shared" si="59"/>
        <v>2.5999999999999999E-2</v>
      </c>
      <c r="W102" s="16">
        <v>2052</v>
      </c>
      <c r="X102" s="350">
        <f t="shared" si="62"/>
        <v>18.25</v>
      </c>
      <c r="Z102" s="16">
        <v>2052</v>
      </c>
      <c r="AA102" s="365">
        <f t="shared" si="61"/>
        <v>4.4000000000000003E-3</v>
      </c>
      <c r="AC102" s="374">
        <v>2052</v>
      </c>
      <c r="AD102" s="365">
        <v>6.4500000000000002E-2</v>
      </c>
      <c r="AE102" s="365">
        <f t="shared" si="60"/>
        <v>7.0000000000000007E-2</v>
      </c>
      <c r="AF102" s="365">
        <v>0.09</v>
      </c>
      <c r="AH102" s="16">
        <v>2052</v>
      </c>
      <c r="AI102" s="350">
        <f t="shared" si="68"/>
        <v>12051.93</v>
      </c>
      <c r="AJ102" s="350">
        <f t="shared" si="69"/>
        <v>17520.650000000001</v>
      </c>
      <c r="AL102" s="16">
        <v>2052</v>
      </c>
      <c r="AM102" s="350">
        <f t="shared" si="66"/>
        <v>15.75</v>
      </c>
      <c r="AO102" s="372">
        <v>7</v>
      </c>
      <c r="AP102" s="373">
        <v>0.88139999999999996</v>
      </c>
      <c r="AQ102" s="373">
        <v>0.88139999999999996</v>
      </c>
      <c r="AR102" s="373">
        <v>0.88139999999999996</v>
      </c>
      <c r="AS102" s="373">
        <v>0.88139999999999996</v>
      </c>
      <c r="AT102" s="373">
        <v>0.88139999999999996</v>
      </c>
      <c r="AU102" s="373">
        <v>0.88139999999999996</v>
      </c>
    </row>
    <row r="103" spans="1:47" s="15" customFormat="1" ht="15.75" outlineLevel="1" thickBot="1" x14ac:dyDescent="0.3">
      <c r="A103" s="16">
        <f t="shared" si="71"/>
        <v>2053</v>
      </c>
      <c r="B103" s="22">
        <f t="shared" si="70"/>
        <v>2.13565</v>
      </c>
      <c r="C103" s="22">
        <f t="shared" si="72"/>
        <v>113.565</v>
      </c>
      <c r="D103" s="43">
        <f t="shared" si="55"/>
        <v>1.13565</v>
      </c>
      <c r="I103" s="16">
        <v>2053</v>
      </c>
      <c r="J103" s="365">
        <f t="shared" si="63"/>
        <v>0.14599999999999999</v>
      </c>
      <c r="K103" s="365">
        <f t="shared" si="64"/>
        <v>2.9000000000000001E-2</v>
      </c>
      <c r="L103" s="365">
        <f t="shared" si="57"/>
        <v>0.17499999999999999</v>
      </c>
      <c r="N103" s="16">
        <v>2053</v>
      </c>
      <c r="O103" s="365">
        <f t="shared" si="58"/>
        <v>3.5999999999999997E-2</v>
      </c>
      <c r="Q103" s="16">
        <v>2053</v>
      </c>
      <c r="R103" s="365">
        <f t="shared" si="65"/>
        <v>0.186</v>
      </c>
      <c r="T103" s="16">
        <v>2053</v>
      </c>
      <c r="U103" s="365">
        <f t="shared" si="59"/>
        <v>2.5999999999999999E-2</v>
      </c>
      <c r="W103" s="16">
        <v>2053</v>
      </c>
      <c r="X103" s="350">
        <f t="shared" si="62"/>
        <v>18.25</v>
      </c>
      <c r="Z103" s="16">
        <v>2053</v>
      </c>
      <c r="AA103" s="365">
        <f t="shared" si="61"/>
        <v>4.4000000000000003E-3</v>
      </c>
      <c r="AC103" s="374">
        <v>2053</v>
      </c>
      <c r="AD103" s="365">
        <v>6.4500000000000002E-2</v>
      </c>
      <c r="AE103" s="365">
        <f t="shared" si="60"/>
        <v>7.0000000000000007E-2</v>
      </c>
      <c r="AF103" s="365">
        <v>0.09</v>
      </c>
      <c r="AH103" s="16">
        <v>2053</v>
      </c>
      <c r="AI103" s="350">
        <f t="shared" si="68"/>
        <v>12413.47</v>
      </c>
      <c r="AJ103" s="350">
        <f t="shared" si="69"/>
        <v>18046.240000000002</v>
      </c>
      <c r="AL103" s="16">
        <v>2053</v>
      </c>
      <c r="AM103" s="350">
        <f t="shared" si="66"/>
        <v>15.75</v>
      </c>
      <c r="AO103" s="372">
        <v>6</v>
      </c>
      <c r="AP103" s="373">
        <v>0.88139999999999996</v>
      </c>
      <c r="AQ103" s="373">
        <v>0.88139999999999996</v>
      </c>
      <c r="AR103" s="373">
        <v>0.88139999999999996</v>
      </c>
      <c r="AS103" s="373">
        <v>0.88139999999999996</v>
      </c>
      <c r="AT103" s="373">
        <v>0.88139999999999996</v>
      </c>
      <c r="AU103" s="373">
        <v>0.88139999999999996</v>
      </c>
    </row>
    <row r="104" spans="1:47" s="15" customFormat="1" ht="15.75" outlineLevel="1" thickBot="1" x14ac:dyDescent="0.3">
      <c r="A104" s="16">
        <f t="shared" si="71"/>
        <v>2054</v>
      </c>
      <c r="B104" s="22">
        <f t="shared" si="70"/>
        <v>2.1997200000000001</v>
      </c>
      <c r="C104" s="22">
        <f t="shared" si="72"/>
        <v>119.97199999999999</v>
      </c>
      <c r="D104" s="43">
        <f t="shared" si="55"/>
        <v>1.1997199999999999</v>
      </c>
      <c r="I104" s="16">
        <v>2054</v>
      </c>
      <c r="J104" s="365">
        <f t="shared" si="63"/>
        <v>0.14599999999999999</v>
      </c>
      <c r="K104" s="365">
        <f t="shared" si="64"/>
        <v>2.9000000000000001E-2</v>
      </c>
      <c r="L104" s="365">
        <f t="shared" si="57"/>
        <v>0.17499999999999999</v>
      </c>
      <c r="N104" s="16">
        <v>2054</v>
      </c>
      <c r="O104" s="365">
        <f t="shared" si="58"/>
        <v>3.5999999999999997E-2</v>
      </c>
      <c r="Q104" s="16">
        <v>2054</v>
      </c>
      <c r="R104" s="365">
        <f t="shared" si="65"/>
        <v>0.186</v>
      </c>
      <c r="T104" s="16">
        <v>2054</v>
      </c>
      <c r="U104" s="365">
        <f t="shared" si="59"/>
        <v>2.5999999999999999E-2</v>
      </c>
      <c r="W104" s="16">
        <v>2054</v>
      </c>
      <c r="X104" s="350">
        <f t="shared" si="62"/>
        <v>18.25</v>
      </c>
      <c r="Z104" s="16">
        <v>2054</v>
      </c>
      <c r="AA104" s="365">
        <f t="shared" si="61"/>
        <v>4.4000000000000003E-3</v>
      </c>
      <c r="AC104" s="374">
        <v>2054</v>
      </c>
      <c r="AD104" s="365">
        <v>6.4500000000000002E-2</v>
      </c>
      <c r="AE104" s="365">
        <f t="shared" si="60"/>
        <v>7.0000000000000007E-2</v>
      </c>
      <c r="AF104" s="365">
        <v>0.09</v>
      </c>
      <c r="AH104" s="16">
        <v>2054</v>
      </c>
      <c r="AI104" s="350">
        <f t="shared" si="68"/>
        <v>12785.87</v>
      </c>
      <c r="AJ104" s="350">
        <f t="shared" si="69"/>
        <v>18587.63</v>
      </c>
      <c r="AL104" s="16">
        <v>2054</v>
      </c>
      <c r="AM104" s="350">
        <f t="shared" si="66"/>
        <v>15.75</v>
      </c>
      <c r="AO104" s="372">
        <v>5</v>
      </c>
      <c r="AP104" s="373">
        <v>0.88139999999999996</v>
      </c>
      <c r="AQ104" s="373">
        <v>0.88139999999999996</v>
      </c>
      <c r="AR104" s="373">
        <v>0.88139999999999996</v>
      </c>
      <c r="AS104" s="373">
        <v>0.88139999999999996</v>
      </c>
      <c r="AT104" s="373">
        <v>0.88139999999999996</v>
      </c>
      <c r="AU104" s="373">
        <v>0.88139999999999996</v>
      </c>
    </row>
    <row r="105" spans="1:47" s="15" customFormat="1" ht="15.75" outlineLevel="1" thickBot="1" x14ac:dyDescent="0.3">
      <c r="A105" s="16">
        <f t="shared" si="71"/>
        <v>2055</v>
      </c>
      <c r="B105" s="22">
        <f t="shared" si="70"/>
        <v>2.2657099999999999</v>
      </c>
      <c r="C105" s="22">
        <f t="shared" si="72"/>
        <v>126.571</v>
      </c>
      <c r="D105" s="43">
        <f t="shared" si="55"/>
        <v>1.2657099999999999</v>
      </c>
      <c r="I105" s="16">
        <v>2055</v>
      </c>
      <c r="J105" s="365">
        <f t="shared" si="63"/>
        <v>0.14599999999999999</v>
      </c>
      <c r="K105" s="365">
        <f t="shared" si="64"/>
        <v>2.9000000000000001E-2</v>
      </c>
      <c r="L105" s="365">
        <f t="shared" si="57"/>
        <v>0.17499999999999999</v>
      </c>
      <c r="N105" s="16">
        <v>2055</v>
      </c>
      <c r="O105" s="365">
        <f t="shared" si="58"/>
        <v>3.5999999999999997E-2</v>
      </c>
      <c r="Q105" s="16">
        <v>2055</v>
      </c>
      <c r="R105" s="365">
        <f t="shared" si="65"/>
        <v>0.186</v>
      </c>
      <c r="T105" s="16">
        <v>2055</v>
      </c>
      <c r="U105" s="365">
        <f t="shared" si="59"/>
        <v>2.5999999999999999E-2</v>
      </c>
      <c r="W105" s="16">
        <v>2055</v>
      </c>
      <c r="X105" s="350">
        <f t="shared" si="62"/>
        <v>18.25</v>
      </c>
      <c r="Z105" s="16">
        <v>2055</v>
      </c>
      <c r="AA105" s="365">
        <f t="shared" si="61"/>
        <v>4.4000000000000003E-3</v>
      </c>
      <c r="AC105" s="374">
        <v>2055</v>
      </c>
      <c r="AD105" s="365">
        <v>6.4500000000000002E-2</v>
      </c>
      <c r="AE105" s="365">
        <f t="shared" si="60"/>
        <v>7.0000000000000007E-2</v>
      </c>
      <c r="AF105" s="365">
        <v>0.09</v>
      </c>
      <c r="AH105" s="16">
        <v>2055</v>
      </c>
      <c r="AI105" s="350">
        <f t="shared" si="68"/>
        <v>13169.44</v>
      </c>
      <c r="AJ105" s="350">
        <f t="shared" si="69"/>
        <v>19145.25</v>
      </c>
      <c r="AL105" s="16">
        <v>2055</v>
      </c>
      <c r="AM105" s="350">
        <f t="shared" si="66"/>
        <v>15.75</v>
      </c>
      <c r="AO105" s="372">
        <v>4</v>
      </c>
      <c r="AP105" s="373">
        <v>0.87429999999999997</v>
      </c>
      <c r="AQ105" s="373">
        <v>0.87429999999999997</v>
      </c>
      <c r="AR105" s="373">
        <v>0.87429999999999997</v>
      </c>
      <c r="AS105" s="373">
        <v>0.87429999999999997</v>
      </c>
      <c r="AT105" s="373">
        <v>0.87429999999999997</v>
      </c>
      <c r="AU105" s="373">
        <v>0.87429999999999997</v>
      </c>
    </row>
    <row r="106" spans="1:47" s="15" customFormat="1" ht="15.75" outlineLevel="1" thickBot="1" x14ac:dyDescent="0.3">
      <c r="A106" s="16">
        <f t="shared" si="71"/>
        <v>2056</v>
      </c>
      <c r="B106" s="22">
        <f t="shared" si="70"/>
        <v>2.3336800000000002</v>
      </c>
      <c r="C106" s="22">
        <f t="shared" si="72"/>
        <v>133.36799999999999</v>
      </c>
      <c r="D106" s="43">
        <f t="shared" si="55"/>
        <v>1.33368</v>
      </c>
      <c r="I106" s="16">
        <v>2056</v>
      </c>
      <c r="J106" s="365">
        <f t="shared" si="63"/>
        <v>0.14599999999999999</v>
      </c>
      <c r="K106" s="365">
        <f t="shared" si="64"/>
        <v>2.9000000000000001E-2</v>
      </c>
      <c r="L106" s="365">
        <f t="shared" si="57"/>
        <v>0.17499999999999999</v>
      </c>
      <c r="N106" s="16">
        <v>2056</v>
      </c>
      <c r="O106" s="365">
        <f t="shared" si="58"/>
        <v>3.5999999999999997E-2</v>
      </c>
      <c r="Q106" s="16">
        <v>2056</v>
      </c>
      <c r="R106" s="365">
        <f t="shared" si="65"/>
        <v>0.186</v>
      </c>
      <c r="T106" s="16">
        <v>2056</v>
      </c>
      <c r="U106" s="365">
        <f t="shared" si="59"/>
        <v>2.5999999999999999E-2</v>
      </c>
      <c r="W106" s="16">
        <v>2056</v>
      </c>
      <c r="X106" s="350">
        <f t="shared" si="62"/>
        <v>18.25</v>
      </c>
      <c r="Z106" s="16">
        <v>2056</v>
      </c>
      <c r="AA106" s="365">
        <f t="shared" si="61"/>
        <v>4.4000000000000003E-3</v>
      </c>
      <c r="AC106" s="374">
        <v>2056</v>
      </c>
      <c r="AD106" s="365">
        <v>6.4500000000000002E-2</v>
      </c>
      <c r="AE106" s="365">
        <f t="shared" si="60"/>
        <v>7.0000000000000007E-2</v>
      </c>
      <c r="AF106" s="365">
        <v>0.09</v>
      </c>
      <c r="AH106" s="16">
        <v>2056</v>
      </c>
      <c r="AI106" s="350">
        <f t="shared" si="68"/>
        <v>13564.52</v>
      </c>
      <c r="AJ106" s="350">
        <f t="shared" si="69"/>
        <v>19719.599999999999</v>
      </c>
      <c r="AL106" s="16">
        <v>2056</v>
      </c>
      <c r="AM106" s="350">
        <f t="shared" si="66"/>
        <v>15.75</v>
      </c>
      <c r="AO106" s="372">
        <v>3</v>
      </c>
      <c r="AP106" s="373">
        <v>0.87429999999999997</v>
      </c>
      <c r="AQ106" s="373">
        <v>0.87429999999999997</v>
      </c>
      <c r="AR106" s="373">
        <v>0.87429999999999997</v>
      </c>
      <c r="AS106" s="373">
        <v>0.87429999999999997</v>
      </c>
      <c r="AT106" s="373">
        <v>0.87429999999999997</v>
      </c>
      <c r="AU106" s="373">
        <v>0.87429999999999997</v>
      </c>
    </row>
    <row r="107" spans="1:47" s="15" customFormat="1" ht="15.75" outlineLevel="1" thickBot="1" x14ac:dyDescent="0.3">
      <c r="A107" s="16">
        <f t="shared" si="71"/>
        <v>2057</v>
      </c>
      <c r="B107" s="22">
        <f t="shared" si="70"/>
        <v>2.4036900000000001</v>
      </c>
      <c r="C107" s="22">
        <f t="shared" si="72"/>
        <v>140.369</v>
      </c>
      <c r="D107" s="43">
        <f t="shared" si="55"/>
        <v>1.4036900000000001</v>
      </c>
      <c r="I107" s="16">
        <v>2057</v>
      </c>
      <c r="J107" s="365">
        <f t="shared" si="63"/>
        <v>0.14599999999999999</v>
      </c>
      <c r="K107" s="365">
        <f t="shared" si="64"/>
        <v>2.9000000000000001E-2</v>
      </c>
      <c r="L107" s="365">
        <f t="shared" si="57"/>
        <v>0.17499999999999999</v>
      </c>
      <c r="N107" s="16">
        <v>2057</v>
      </c>
      <c r="O107" s="365">
        <f t="shared" si="58"/>
        <v>3.5999999999999997E-2</v>
      </c>
      <c r="Q107" s="16">
        <v>2057</v>
      </c>
      <c r="R107" s="365">
        <f t="shared" si="65"/>
        <v>0.186</v>
      </c>
      <c r="T107" s="16">
        <v>2057</v>
      </c>
      <c r="U107" s="365">
        <f t="shared" si="59"/>
        <v>2.5999999999999999E-2</v>
      </c>
      <c r="W107" s="16">
        <v>2057</v>
      </c>
      <c r="X107" s="350">
        <f t="shared" si="62"/>
        <v>18.25</v>
      </c>
      <c r="Z107" s="16">
        <v>2057</v>
      </c>
      <c r="AA107" s="365">
        <f t="shared" si="61"/>
        <v>4.4000000000000003E-3</v>
      </c>
      <c r="AC107" s="374">
        <v>2057</v>
      </c>
      <c r="AD107" s="365">
        <v>6.4500000000000002E-2</v>
      </c>
      <c r="AE107" s="365">
        <f t="shared" si="60"/>
        <v>7.0000000000000007E-2</v>
      </c>
      <c r="AF107" s="365">
        <v>0.09</v>
      </c>
      <c r="AH107" s="16">
        <v>2057</v>
      </c>
      <c r="AI107" s="350">
        <f t="shared" si="68"/>
        <v>13971.45</v>
      </c>
      <c r="AJ107" s="350">
        <f t="shared" si="69"/>
        <v>20311.18</v>
      </c>
      <c r="AL107" s="16">
        <v>2057</v>
      </c>
      <c r="AM107" s="350">
        <f t="shared" si="66"/>
        <v>15.75</v>
      </c>
      <c r="AO107" s="372" t="s">
        <v>30</v>
      </c>
      <c r="AP107" s="373">
        <v>0.87429999999999997</v>
      </c>
      <c r="AQ107" s="373">
        <v>0.87429999999999997</v>
      </c>
      <c r="AR107" s="373">
        <v>0.87429999999999997</v>
      </c>
      <c r="AS107" s="373">
        <v>0.87429999999999997</v>
      </c>
      <c r="AT107" s="373">
        <v>0.87429999999999997</v>
      </c>
      <c r="AU107" s="373">
        <v>0.87429999999999997</v>
      </c>
    </row>
    <row r="108" spans="1:47" s="15" customFormat="1" ht="15.75" outlineLevel="1" thickBot="1" x14ac:dyDescent="0.3">
      <c r="A108" s="16">
        <f t="shared" si="71"/>
        <v>2058</v>
      </c>
      <c r="B108" s="22">
        <f t="shared" si="70"/>
        <v>2.4758</v>
      </c>
      <c r="C108" s="22">
        <f t="shared" si="72"/>
        <v>147.58000000000001</v>
      </c>
      <c r="D108" s="43">
        <f t="shared" si="55"/>
        <v>1.4758</v>
      </c>
      <c r="I108" s="16">
        <v>2058</v>
      </c>
      <c r="J108" s="365">
        <f t="shared" si="63"/>
        <v>0.14599999999999999</v>
      </c>
      <c r="K108" s="365">
        <f t="shared" si="64"/>
        <v>2.9000000000000001E-2</v>
      </c>
      <c r="L108" s="365">
        <f t="shared" si="57"/>
        <v>0.17499999999999999</v>
      </c>
      <c r="N108" s="16">
        <v>2058</v>
      </c>
      <c r="O108" s="365">
        <f t="shared" si="58"/>
        <v>3.5999999999999997E-2</v>
      </c>
      <c r="Q108" s="16">
        <v>2058</v>
      </c>
      <c r="R108" s="365">
        <f t="shared" si="65"/>
        <v>0.186</v>
      </c>
      <c r="T108" s="16">
        <v>2058</v>
      </c>
      <c r="U108" s="365">
        <f t="shared" si="59"/>
        <v>2.5999999999999999E-2</v>
      </c>
      <c r="W108" s="16">
        <v>2058</v>
      </c>
      <c r="X108" s="350">
        <f t="shared" si="62"/>
        <v>18.25</v>
      </c>
      <c r="Z108" s="16">
        <v>2058</v>
      </c>
      <c r="AA108" s="365">
        <f t="shared" si="61"/>
        <v>4.4000000000000003E-3</v>
      </c>
      <c r="AC108" s="374">
        <v>2058</v>
      </c>
      <c r="AD108" s="365">
        <v>6.4500000000000002E-2</v>
      </c>
      <c r="AE108" s="365">
        <f t="shared" si="60"/>
        <v>7.0000000000000007E-2</v>
      </c>
      <c r="AF108" s="365">
        <v>0.09</v>
      </c>
      <c r="AH108" s="16">
        <v>2058</v>
      </c>
      <c r="AI108" s="350">
        <f t="shared" si="68"/>
        <v>14390.59</v>
      </c>
      <c r="AJ108" s="350">
        <f t="shared" si="69"/>
        <v>20920.509999999998</v>
      </c>
      <c r="AL108" s="16">
        <v>2058</v>
      </c>
      <c r="AM108" s="350">
        <f t="shared" si="66"/>
        <v>15.75</v>
      </c>
      <c r="AO108" s="372">
        <v>2</v>
      </c>
      <c r="AP108" s="373">
        <v>0.87429999999999997</v>
      </c>
      <c r="AQ108" s="373">
        <v>0.87429999999999997</v>
      </c>
      <c r="AR108" s="373">
        <v>0.87429999999999997</v>
      </c>
      <c r="AS108" s="373">
        <v>0.87429999999999997</v>
      </c>
      <c r="AT108" s="373">
        <v>0.87429999999999997</v>
      </c>
      <c r="AU108" s="373">
        <v>0.87429999999999997</v>
      </c>
    </row>
    <row r="109" spans="1:47" s="15" customFormat="1" ht="15.75" outlineLevel="1" thickBot="1" x14ac:dyDescent="0.3">
      <c r="A109" s="16">
        <f t="shared" si="71"/>
        <v>2059</v>
      </c>
      <c r="B109" s="22">
        <f t="shared" si="70"/>
        <v>2.5500699999999998</v>
      </c>
      <c r="C109" s="22">
        <f t="shared" si="72"/>
        <v>155.00700000000001</v>
      </c>
      <c r="D109" s="43">
        <f t="shared" si="55"/>
        <v>1.5500700000000001</v>
      </c>
      <c r="I109" s="16">
        <v>2059</v>
      </c>
      <c r="J109" s="365">
        <f t="shared" si="63"/>
        <v>0.14599999999999999</v>
      </c>
      <c r="K109" s="365">
        <f t="shared" si="64"/>
        <v>2.9000000000000001E-2</v>
      </c>
      <c r="L109" s="365">
        <f t="shared" si="57"/>
        <v>0.17499999999999999</v>
      </c>
      <c r="N109" s="16">
        <v>2059</v>
      </c>
      <c r="O109" s="365">
        <f t="shared" si="58"/>
        <v>3.5999999999999997E-2</v>
      </c>
      <c r="Q109" s="16">
        <v>2059</v>
      </c>
      <c r="R109" s="365">
        <f t="shared" si="65"/>
        <v>0.186</v>
      </c>
      <c r="T109" s="16">
        <v>2059</v>
      </c>
      <c r="U109" s="365">
        <f t="shared" si="59"/>
        <v>2.5999999999999999E-2</v>
      </c>
      <c r="W109" s="16">
        <v>2059</v>
      </c>
      <c r="X109" s="350">
        <f t="shared" si="62"/>
        <v>18.25</v>
      </c>
      <c r="Z109" s="16">
        <v>2059</v>
      </c>
      <c r="AA109" s="365">
        <f t="shared" si="61"/>
        <v>4.4000000000000003E-3</v>
      </c>
      <c r="AC109" s="374">
        <v>2059</v>
      </c>
      <c r="AD109" s="365">
        <v>6.4500000000000002E-2</v>
      </c>
      <c r="AE109" s="365">
        <f t="shared" si="60"/>
        <v>7.0000000000000007E-2</v>
      </c>
      <c r="AF109" s="365">
        <v>0.09</v>
      </c>
      <c r="AH109" s="16">
        <v>2059</v>
      </c>
      <c r="AI109" s="350">
        <f t="shared" si="68"/>
        <v>14822.28</v>
      </c>
      <c r="AJ109" s="350">
        <f t="shared" si="69"/>
        <v>21548.09</v>
      </c>
      <c r="AL109" s="16">
        <v>2059</v>
      </c>
      <c r="AM109" s="350">
        <f t="shared" si="66"/>
        <v>15.75</v>
      </c>
      <c r="AO109" s="372">
        <v>1</v>
      </c>
      <c r="AP109" s="373">
        <v>0</v>
      </c>
      <c r="AQ109" s="373">
        <v>0.87429999999999997</v>
      </c>
      <c r="AR109" s="373">
        <v>0.87429999999999997</v>
      </c>
      <c r="AS109" s="373">
        <v>0.87429999999999997</v>
      </c>
      <c r="AT109" s="373">
        <v>0.87429999999999997</v>
      </c>
      <c r="AU109" s="373">
        <v>0.87429999999999997</v>
      </c>
    </row>
    <row r="110" spans="1:47" s="15" customFormat="1" outlineLevel="1" x14ac:dyDescent="0.25">
      <c r="A110" s="16">
        <f t="shared" si="71"/>
        <v>2060</v>
      </c>
      <c r="B110" s="22">
        <f t="shared" si="70"/>
        <v>2.6265700000000001</v>
      </c>
      <c r="C110" s="22">
        <f t="shared" si="72"/>
        <v>162.65700000000001</v>
      </c>
      <c r="D110" s="43">
        <f t="shared" si="55"/>
        <v>1.6265700000000001</v>
      </c>
      <c r="I110" s="16">
        <v>2060</v>
      </c>
      <c r="J110" s="365">
        <f t="shared" si="63"/>
        <v>0.14599999999999999</v>
      </c>
      <c r="K110" s="365">
        <f t="shared" si="64"/>
        <v>2.9000000000000001E-2</v>
      </c>
      <c r="L110" s="365">
        <f t="shared" si="57"/>
        <v>0.17499999999999999</v>
      </c>
      <c r="N110" s="16">
        <v>2060</v>
      </c>
      <c r="O110" s="365">
        <f t="shared" si="58"/>
        <v>3.5999999999999997E-2</v>
      </c>
      <c r="Q110" s="16">
        <v>2060</v>
      </c>
      <c r="R110" s="365">
        <f t="shared" si="65"/>
        <v>0.186</v>
      </c>
      <c r="T110" s="16">
        <v>2060</v>
      </c>
      <c r="U110" s="365">
        <f t="shared" si="59"/>
        <v>2.5999999999999999E-2</v>
      </c>
      <c r="W110" s="16">
        <v>2060</v>
      </c>
      <c r="X110" s="350">
        <f t="shared" si="62"/>
        <v>18.25</v>
      </c>
      <c r="Z110" s="16">
        <v>2060</v>
      </c>
      <c r="AA110" s="365">
        <f t="shared" si="61"/>
        <v>4.4000000000000003E-3</v>
      </c>
      <c r="AC110" s="374">
        <v>2060</v>
      </c>
      <c r="AD110" s="365">
        <v>6.4500000000000002E-2</v>
      </c>
      <c r="AE110" s="365">
        <f t="shared" si="60"/>
        <v>7.0000000000000007E-2</v>
      </c>
      <c r="AF110" s="365">
        <v>0.09</v>
      </c>
      <c r="AH110" s="16">
        <v>2060</v>
      </c>
      <c r="AI110" s="350">
        <f t="shared" si="68"/>
        <v>15266.94</v>
      </c>
      <c r="AJ110" s="350">
        <f t="shared" si="69"/>
        <v>22194.52</v>
      </c>
      <c r="AL110" s="16">
        <v>2060</v>
      </c>
      <c r="AM110" s="350">
        <f t="shared" si="66"/>
        <v>15.75</v>
      </c>
      <c r="AO110" s="366"/>
      <c r="AP110" s="366"/>
      <c r="AQ110" s="366"/>
      <c r="AR110" s="366"/>
      <c r="AS110" s="366"/>
      <c r="AT110" s="366"/>
      <c r="AU110" s="366"/>
    </row>
    <row r="111" spans="1:47" s="15" customFormat="1" ht="15.75" outlineLevel="1" thickBot="1" x14ac:dyDescent="0.3">
      <c r="A111" s="16">
        <f t="shared" si="71"/>
        <v>2061</v>
      </c>
      <c r="B111" s="22">
        <f t="shared" si="70"/>
        <v>2.7053699999999998</v>
      </c>
      <c r="C111" s="22">
        <f t="shared" si="72"/>
        <v>170.53700000000001</v>
      </c>
      <c r="D111" s="43">
        <f t="shared" si="55"/>
        <v>1.7053700000000001</v>
      </c>
      <c r="I111" s="16">
        <v>2061</v>
      </c>
      <c r="J111" s="365">
        <f t="shared" si="63"/>
        <v>0.14599999999999999</v>
      </c>
      <c r="K111" s="365">
        <f t="shared" si="64"/>
        <v>2.9000000000000001E-2</v>
      </c>
      <c r="L111" s="365">
        <f t="shared" si="57"/>
        <v>0.17499999999999999</v>
      </c>
      <c r="N111" s="16">
        <v>2061</v>
      </c>
      <c r="O111" s="365">
        <f t="shared" si="58"/>
        <v>3.5999999999999997E-2</v>
      </c>
      <c r="Q111" s="16">
        <v>2061</v>
      </c>
      <c r="R111" s="365">
        <f t="shared" si="65"/>
        <v>0.186</v>
      </c>
      <c r="T111" s="16">
        <v>2061</v>
      </c>
      <c r="U111" s="365">
        <f t="shared" si="59"/>
        <v>2.5999999999999999E-2</v>
      </c>
      <c r="W111" s="16">
        <v>2061</v>
      </c>
      <c r="X111" s="350">
        <f t="shared" si="62"/>
        <v>18.25</v>
      </c>
      <c r="Z111" s="16">
        <v>2061</v>
      </c>
      <c r="AA111" s="365">
        <f t="shared" si="61"/>
        <v>4.4000000000000003E-3</v>
      </c>
      <c r="AC111" s="374">
        <v>2061</v>
      </c>
      <c r="AD111" s="365">
        <v>6.4500000000000002E-2</v>
      </c>
      <c r="AE111" s="365">
        <f t="shared" si="60"/>
        <v>7.0000000000000007E-2</v>
      </c>
      <c r="AF111" s="365">
        <v>0.09</v>
      </c>
      <c r="AH111" s="16">
        <v>2061</v>
      </c>
      <c r="AI111" s="350">
        <f t="shared" si="68"/>
        <v>15724.96</v>
      </c>
      <c r="AJ111" s="350">
        <f t="shared" si="69"/>
        <v>22860.38</v>
      </c>
      <c r="AL111" s="16">
        <v>2061</v>
      </c>
      <c r="AM111" s="350">
        <f t="shared" si="66"/>
        <v>15.75</v>
      </c>
      <c r="AO111" s="366"/>
      <c r="AP111" s="366"/>
      <c r="AQ111" s="366"/>
      <c r="AR111" s="366"/>
      <c r="AS111" s="366"/>
      <c r="AT111" s="366"/>
      <c r="AU111" s="366"/>
    </row>
    <row r="112" spans="1:47" s="15" customFormat="1" ht="15.75" outlineLevel="1" thickBot="1" x14ac:dyDescent="0.3">
      <c r="A112" s="16">
        <f t="shared" si="71"/>
        <v>2062</v>
      </c>
      <c r="B112" s="22">
        <f t="shared" si="70"/>
        <v>2.78653</v>
      </c>
      <c r="C112" s="22">
        <f t="shared" si="72"/>
        <v>178.65299999999999</v>
      </c>
      <c r="D112" s="43">
        <f t="shared" si="55"/>
        <v>1.78653</v>
      </c>
      <c r="I112" s="16">
        <v>2062</v>
      </c>
      <c r="J112" s="365">
        <f t="shared" si="63"/>
        <v>0.14599999999999999</v>
      </c>
      <c r="K112" s="365">
        <f t="shared" si="64"/>
        <v>2.9000000000000001E-2</v>
      </c>
      <c r="L112" s="365">
        <f t="shared" si="57"/>
        <v>0.17499999999999999</v>
      </c>
      <c r="N112" s="16">
        <v>2062</v>
      </c>
      <c r="O112" s="365">
        <f t="shared" si="58"/>
        <v>3.5999999999999997E-2</v>
      </c>
      <c r="Q112" s="16">
        <v>2062</v>
      </c>
      <c r="R112" s="365">
        <f t="shared" si="65"/>
        <v>0.186</v>
      </c>
      <c r="T112" s="16">
        <v>2062</v>
      </c>
      <c r="U112" s="365">
        <f t="shared" si="59"/>
        <v>2.5999999999999999E-2</v>
      </c>
      <c r="W112" s="16">
        <v>2062</v>
      </c>
      <c r="X112" s="350">
        <f t="shared" si="62"/>
        <v>18.25</v>
      </c>
      <c r="Z112" s="16">
        <v>2062</v>
      </c>
      <c r="AA112" s="365">
        <f t="shared" si="61"/>
        <v>4.4000000000000003E-3</v>
      </c>
      <c r="AC112" s="374">
        <v>2062</v>
      </c>
      <c r="AD112" s="365">
        <v>6.4500000000000002E-2</v>
      </c>
      <c r="AE112" s="365">
        <f t="shared" si="60"/>
        <v>7.0000000000000007E-2</v>
      </c>
      <c r="AF112" s="365">
        <v>0.09</v>
      </c>
      <c r="AH112" s="16">
        <v>2062</v>
      </c>
      <c r="AI112" s="350">
        <f t="shared" si="68"/>
        <v>16196.71</v>
      </c>
      <c r="AJ112" s="350">
        <f t="shared" si="69"/>
        <v>23546.18</v>
      </c>
      <c r="AL112" s="16">
        <v>2062</v>
      </c>
      <c r="AM112" s="350">
        <f t="shared" si="66"/>
        <v>15.75</v>
      </c>
      <c r="AO112" s="370">
        <v>2026</v>
      </c>
      <c r="AP112" s="367" t="s">
        <v>44</v>
      </c>
      <c r="AQ112" s="369"/>
      <c r="AR112" s="369"/>
      <c r="AS112" s="369"/>
      <c r="AT112" s="369"/>
      <c r="AU112" s="368"/>
    </row>
    <row r="113" spans="1:47" s="15" customFormat="1" ht="15.75" outlineLevel="1" thickBot="1" x14ac:dyDescent="0.3">
      <c r="A113" s="16">
        <f t="shared" si="71"/>
        <v>2063</v>
      </c>
      <c r="B113" s="22">
        <f t="shared" si="70"/>
        <v>2.8701300000000001</v>
      </c>
      <c r="C113" s="22">
        <f t="shared" si="72"/>
        <v>187.01300000000001</v>
      </c>
      <c r="D113" s="43">
        <f t="shared" si="55"/>
        <v>1.8701300000000001</v>
      </c>
      <c r="I113" s="16">
        <v>2063</v>
      </c>
      <c r="J113" s="365">
        <f t="shared" si="63"/>
        <v>0.14599999999999999</v>
      </c>
      <c r="K113" s="365">
        <f t="shared" si="64"/>
        <v>2.9000000000000001E-2</v>
      </c>
      <c r="L113" s="365">
        <f t="shared" si="57"/>
        <v>0.17499999999999999</v>
      </c>
      <c r="N113" s="16">
        <v>2063</v>
      </c>
      <c r="O113" s="365">
        <f t="shared" si="58"/>
        <v>3.5999999999999997E-2</v>
      </c>
      <c r="Q113" s="16">
        <v>2063</v>
      </c>
      <c r="R113" s="365">
        <f t="shared" si="65"/>
        <v>0.186</v>
      </c>
      <c r="T113" s="16">
        <v>2063</v>
      </c>
      <c r="U113" s="365">
        <f t="shared" si="59"/>
        <v>2.5999999999999999E-2</v>
      </c>
      <c r="W113" s="16">
        <v>2063</v>
      </c>
      <c r="X113" s="350">
        <f t="shared" si="62"/>
        <v>18.25</v>
      </c>
      <c r="Z113" s="16">
        <v>2063</v>
      </c>
      <c r="AA113" s="365">
        <f t="shared" si="61"/>
        <v>4.4000000000000003E-3</v>
      </c>
      <c r="AC113" s="374">
        <v>2063</v>
      </c>
      <c r="AD113" s="365">
        <v>6.4500000000000002E-2</v>
      </c>
      <c r="AE113" s="365">
        <f t="shared" si="60"/>
        <v>7.0000000000000007E-2</v>
      </c>
      <c r="AF113" s="365">
        <v>0.09</v>
      </c>
      <c r="AH113" s="16">
        <v>2063</v>
      </c>
      <c r="AI113" s="350">
        <f t="shared" si="68"/>
        <v>16682.63</v>
      </c>
      <c r="AJ113" s="350">
        <f t="shared" si="69"/>
        <v>24252.6</v>
      </c>
      <c r="AL113" s="16">
        <v>2063</v>
      </c>
      <c r="AM113" s="350">
        <f t="shared" si="66"/>
        <v>15.75</v>
      </c>
      <c r="AO113" s="371" t="s">
        <v>27</v>
      </c>
      <c r="AP113" s="371">
        <v>1</v>
      </c>
      <c r="AQ113" s="371">
        <v>2</v>
      </c>
      <c r="AR113" s="371">
        <v>3</v>
      </c>
      <c r="AS113" s="371">
        <v>4</v>
      </c>
      <c r="AT113" s="371">
        <v>5</v>
      </c>
      <c r="AU113" s="371">
        <v>6</v>
      </c>
    </row>
    <row r="114" spans="1:47" s="15" customFormat="1" ht="15.75" outlineLevel="1" thickBot="1" x14ac:dyDescent="0.3">
      <c r="A114" s="16">
        <f t="shared" si="71"/>
        <v>2064</v>
      </c>
      <c r="B114" s="22">
        <f t="shared" si="70"/>
        <v>2.9562300000000001</v>
      </c>
      <c r="C114" s="22">
        <f t="shared" si="72"/>
        <v>195.62299999999999</v>
      </c>
      <c r="D114" s="43">
        <f t="shared" si="55"/>
        <v>1.9562299999999999</v>
      </c>
      <c r="I114" s="16">
        <v>2064</v>
      </c>
      <c r="J114" s="365">
        <f t="shared" si="63"/>
        <v>0.14599999999999999</v>
      </c>
      <c r="K114" s="365">
        <f t="shared" si="64"/>
        <v>2.9000000000000001E-2</v>
      </c>
      <c r="L114" s="365">
        <f t="shared" si="57"/>
        <v>0.17499999999999999</v>
      </c>
      <c r="N114" s="16">
        <v>2064</v>
      </c>
      <c r="O114" s="365">
        <f t="shared" si="58"/>
        <v>3.5999999999999997E-2</v>
      </c>
      <c r="Q114" s="16">
        <v>2064</v>
      </c>
      <c r="R114" s="365">
        <f t="shared" si="65"/>
        <v>0.186</v>
      </c>
      <c r="T114" s="16">
        <v>2064</v>
      </c>
      <c r="U114" s="365">
        <f t="shared" si="59"/>
        <v>2.5999999999999999E-2</v>
      </c>
      <c r="W114" s="16">
        <v>2064</v>
      </c>
      <c r="X114" s="350">
        <f t="shared" si="62"/>
        <v>18.25</v>
      </c>
      <c r="Z114" s="16">
        <v>2064</v>
      </c>
      <c r="AA114" s="365">
        <f t="shared" si="61"/>
        <v>4.4000000000000003E-3</v>
      </c>
      <c r="AC114" s="374">
        <v>2064</v>
      </c>
      <c r="AD114" s="365">
        <v>6.4500000000000002E-2</v>
      </c>
      <c r="AE114" s="365">
        <f t="shared" si="60"/>
        <v>7.0000000000000007E-2</v>
      </c>
      <c r="AF114" s="365">
        <v>0.09</v>
      </c>
      <c r="AH114" s="16">
        <v>2064</v>
      </c>
      <c r="AI114" s="350">
        <f t="shared" si="68"/>
        <v>17183.09</v>
      </c>
      <c r="AJ114" s="350">
        <f t="shared" si="69"/>
        <v>24980.14</v>
      </c>
      <c r="AL114" s="16">
        <v>2064</v>
      </c>
      <c r="AM114" s="350">
        <f t="shared" si="66"/>
        <v>15.75</v>
      </c>
      <c r="AO114" s="372" t="s">
        <v>28</v>
      </c>
      <c r="AP114" s="373">
        <v>0.32529999999999998</v>
      </c>
      <c r="AQ114" s="373">
        <v>0.32529999999999998</v>
      </c>
      <c r="AR114" s="373">
        <v>0.32529999999999998</v>
      </c>
      <c r="AS114" s="373">
        <v>0.32529999999999998</v>
      </c>
      <c r="AT114" s="373">
        <v>0.32529999999999998</v>
      </c>
      <c r="AU114" s="373">
        <v>0.32529999999999998</v>
      </c>
    </row>
    <row r="115" spans="1:47" s="15" customFormat="1" ht="15.75" outlineLevel="1" thickBot="1" x14ac:dyDescent="0.3">
      <c r="A115" s="16">
        <f t="shared" si="71"/>
        <v>2065</v>
      </c>
      <c r="B115" s="22">
        <f t="shared" si="70"/>
        <v>3.0449199999999998</v>
      </c>
      <c r="C115" s="22">
        <f t="shared" si="72"/>
        <v>204.49199999999999</v>
      </c>
      <c r="D115" s="43">
        <f t="shared" si="55"/>
        <v>2.0449199999999998</v>
      </c>
      <c r="I115" s="16">
        <v>2065</v>
      </c>
      <c r="J115" s="365">
        <f t="shared" si="63"/>
        <v>0.14599999999999999</v>
      </c>
      <c r="K115" s="365">
        <f t="shared" si="64"/>
        <v>2.9000000000000001E-2</v>
      </c>
      <c r="L115" s="365">
        <f t="shared" si="57"/>
        <v>0.17499999999999999</v>
      </c>
      <c r="N115" s="16">
        <v>2065</v>
      </c>
      <c r="O115" s="365">
        <f t="shared" si="58"/>
        <v>3.5999999999999997E-2</v>
      </c>
      <c r="Q115" s="16">
        <v>2065</v>
      </c>
      <c r="R115" s="365">
        <f t="shared" si="65"/>
        <v>0.186</v>
      </c>
      <c r="T115" s="16">
        <v>2065</v>
      </c>
      <c r="U115" s="365">
        <f t="shared" si="59"/>
        <v>2.5999999999999999E-2</v>
      </c>
      <c r="W115" s="16">
        <v>2065</v>
      </c>
      <c r="X115" s="350">
        <f t="shared" si="62"/>
        <v>18.25</v>
      </c>
      <c r="Z115" s="16">
        <v>2065</v>
      </c>
      <c r="AA115" s="365">
        <f t="shared" si="61"/>
        <v>4.4000000000000003E-3</v>
      </c>
      <c r="AC115" s="374">
        <v>2065</v>
      </c>
      <c r="AD115" s="365">
        <v>6.4500000000000002E-2</v>
      </c>
      <c r="AE115" s="365">
        <f t="shared" si="60"/>
        <v>7.0000000000000007E-2</v>
      </c>
      <c r="AF115" s="365">
        <v>0.09</v>
      </c>
      <c r="AH115" s="16">
        <v>2065</v>
      </c>
      <c r="AI115" s="350">
        <f t="shared" si="68"/>
        <v>17698.599999999999</v>
      </c>
      <c r="AJ115" s="350">
        <f t="shared" si="69"/>
        <v>25729.57</v>
      </c>
      <c r="AL115" s="16">
        <v>2065</v>
      </c>
      <c r="AM115" s="350">
        <f t="shared" si="66"/>
        <v>15.75</v>
      </c>
      <c r="AO115" s="372">
        <v>15</v>
      </c>
      <c r="AP115" s="373">
        <v>0.32529999999999998</v>
      </c>
      <c r="AQ115" s="373">
        <v>0.32529999999999998</v>
      </c>
      <c r="AR115" s="373">
        <v>0.32529999999999998</v>
      </c>
      <c r="AS115" s="373">
        <v>0.32529999999999998</v>
      </c>
      <c r="AT115" s="373">
        <v>0.32529999999999998</v>
      </c>
      <c r="AU115" s="373">
        <v>0.32529999999999998</v>
      </c>
    </row>
    <row r="116" spans="1:47" s="15" customFormat="1" ht="15.75" outlineLevel="1" thickBot="1" x14ac:dyDescent="0.3">
      <c r="A116" s="16">
        <f t="shared" si="71"/>
        <v>2066</v>
      </c>
      <c r="B116" s="22">
        <f t="shared" si="70"/>
        <v>3.1362700000000001</v>
      </c>
      <c r="C116" s="22">
        <f t="shared" si="72"/>
        <v>213.62700000000001</v>
      </c>
      <c r="D116" s="43">
        <f t="shared" si="55"/>
        <v>2.1362700000000001</v>
      </c>
      <c r="I116" s="16">
        <v>2066</v>
      </c>
      <c r="J116" s="365">
        <f t="shared" si="63"/>
        <v>0.14599999999999999</v>
      </c>
      <c r="K116" s="365">
        <f t="shared" si="64"/>
        <v>2.9000000000000001E-2</v>
      </c>
      <c r="L116" s="365">
        <f t="shared" si="57"/>
        <v>0.17499999999999999</v>
      </c>
      <c r="N116" s="16">
        <v>2066</v>
      </c>
      <c r="O116" s="365">
        <f t="shared" si="58"/>
        <v>3.5999999999999997E-2</v>
      </c>
      <c r="Q116" s="16">
        <v>2066</v>
      </c>
      <c r="R116" s="365">
        <f t="shared" si="65"/>
        <v>0.186</v>
      </c>
      <c r="T116" s="16">
        <v>2066</v>
      </c>
      <c r="U116" s="365">
        <f t="shared" si="59"/>
        <v>2.5999999999999999E-2</v>
      </c>
      <c r="W116" s="16">
        <v>2066</v>
      </c>
      <c r="X116" s="350">
        <f t="shared" si="62"/>
        <v>18.25</v>
      </c>
      <c r="Z116" s="16">
        <v>2066</v>
      </c>
      <c r="AA116" s="365">
        <f t="shared" si="61"/>
        <v>4.4000000000000003E-3</v>
      </c>
      <c r="AC116" s="374">
        <v>2066</v>
      </c>
      <c r="AD116" s="365">
        <v>6.4500000000000002E-2</v>
      </c>
      <c r="AE116" s="365">
        <f t="shared" si="60"/>
        <v>7.0000000000000007E-2</v>
      </c>
      <c r="AF116" s="365">
        <v>0.09</v>
      </c>
      <c r="AH116" s="16">
        <v>2066</v>
      </c>
      <c r="AI116" s="350">
        <f t="shared" si="68"/>
        <v>18229.57</v>
      </c>
      <c r="AJ116" s="350">
        <f t="shared" si="69"/>
        <v>26501.48</v>
      </c>
      <c r="AL116" s="16">
        <v>2066</v>
      </c>
      <c r="AM116" s="350">
        <f t="shared" si="66"/>
        <v>15.75</v>
      </c>
      <c r="AO116" s="372">
        <v>14</v>
      </c>
      <c r="AP116" s="373">
        <v>0.32529999999999998</v>
      </c>
      <c r="AQ116" s="373">
        <v>0.32529999999999998</v>
      </c>
      <c r="AR116" s="373">
        <v>0.32529999999999998</v>
      </c>
      <c r="AS116" s="373">
        <v>0.32529999999999998</v>
      </c>
      <c r="AT116" s="373">
        <v>0.32529999999999998</v>
      </c>
      <c r="AU116" s="373">
        <v>0.32529999999999998</v>
      </c>
    </row>
    <row r="117" spans="1:47" s="15" customFormat="1" ht="15.75" outlineLevel="1" thickBot="1" x14ac:dyDescent="0.3">
      <c r="A117" s="16">
        <f t="shared" si="71"/>
        <v>2067</v>
      </c>
      <c r="B117" s="22">
        <f t="shared" si="70"/>
        <v>3.2303600000000001</v>
      </c>
      <c r="C117" s="22">
        <f t="shared" si="72"/>
        <v>223.036</v>
      </c>
      <c r="D117" s="43">
        <f t="shared" si="55"/>
        <v>2.2303600000000001</v>
      </c>
      <c r="I117" s="16">
        <v>2067</v>
      </c>
      <c r="J117" s="365">
        <f t="shared" si="63"/>
        <v>0.14599999999999999</v>
      </c>
      <c r="K117" s="365">
        <f t="shared" si="64"/>
        <v>2.9000000000000001E-2</v>
      </c>
      <c r="L117" s="365">
        <f t="shared" si="57"/>
        <v>0.17499999999999999</v>
      </c>
      <c r="N117" s="16">
        <v>2067</v>
      </c>
      <c r="O117" s="365">
        <f t="shared" si="58"/>
        <v>3.5999999999999997E-2</v>
      </c>
      <c r="Q117" s="16">
        <v>2067</v>
      </c>
      <c r="R117" s="365">
        <f t="shared" si="65"/>
        <v>0.186</v>
      </c>
      <c r="T117" s="16">
        <v>2067</v>
      </c>
      <c r="U117" s="365">
        <f t="shared" si="59"/>
        <v>2.5999999999999999E-2</v>
      </c>
      <c r="W117" s="16">
        <v>2067</v>
      </c>
      <c r="X117" s="350">
        <f t="shared" si="62"/>
        <v>18.25</v>
      </c>
      <c r="Z117" s="16">
        <v>2067</v>
      </c>
      <c r="AA117" s="365">
        <f t="shared" si="61"/>
        <v>4.4000000000000003E-3</v>
      </c>
      <c r="AC117" s="374">
        <v>2067</v>
      </c>
      <c r="AD117" s="365">
        <v>6.4500000000000002E-2</v>
      </c>
      <c r="AE117" s="365">
        <f t="shared" si="60"/>
        <v>7.0000000000000007E-2</v>
      </c>
      <c r="AF117" s="365">
        <v>0.09</v>
      </c>
      <c r="AH117" s="16">
        <v>2067</v>
      </c>
      <c r="AI117" s="350">
        <f t="shared" si="68"/>
        <v>18776.47</v>
      </c>
      <c r="AJ117" s="350">
        <f t="shared" si="69"/>
        <v>27296.54</v>
      </c>
      <c r="AL117" s="16">
        <v>2067</v>
      </c>
      <c r="AM117" s="350">
        <f t="shared" si="66"/>
        <v>15.75</v>
      </c>
      <c r="AO117" s="372" t="s">
        <v>29</v>
      </c>
      <c r="AP117" s="373">
        <v>0</v>
      </c>
      <c r="AQ117" s="373">
        <v>0.4647</v>
      </c>
      <c r="AR117" s="373">
        <v>0.4647</v>
      </c>
      <c r="AS117" s="373">
        <v>0.32529999999999998</v>
      </c>
      <c r="AT117" s="373">
        <v>0.32529999999999998</v>
      </c>
      <c r="AU117" s="373">
        <v>0.32529999999999998</v>
      </c>
    </row>
    <row r="118" spans="1:47" s="15" customFormat="1" ht="15.75" outlineLevel="1" thickBot="1" x14ac:dyDescent="0.3">
      <c r="A118" s="16">
        <f t="shared" si="71"/>
        <v>2068</v>
      </c>
      <c r="B118" s="22">
        <f t="shared" si="70"/>
        <v>3.3272699999999999</v>
      </c>
      <c r="C118" s="22">
        <f t="shared" si="72"/>
        <v>232.727</v>
      </c>
      <c r="D118" s="43">
        <f t="shared" si="55"/>
        <v>2.3272699999999999</v>
      </c>
      <c r="I118" s="16">
        <v>2068</v>
      </c>
      <c r="J118" s="365">
        <f t="shared" si="63"/>
        <v>0.14599999999999999</v>
      </c>
      <c r="K118" s="365">
        <f t="shared" si="64"/>
        <v>2.9000000000000001E-2</v>
      </c>
      <c r="L118" s="365">
        <f t="shared" si="57"/>
        <v>0.17499999999999999</v>
      </c>
      <c r="N118" s="16">
        <v>2068</v>
      </c>
      <c r="O118" s="365">
        <f t="shared" si="58"/>
        <v>3.5999999999999997E-2</v>
      </c>
      <c r="Q118" s="16">
        <v>2068</v>
      </c>
      <c r="R118" s="365">
        <f t="shared" si="65"/>
        <v>0.186</v>
      </c>
      <c r="T118" s="16">
        <v>2068</v>
      </c>
      <c r="U118" s="365">
        <f t="shared" si="59"/>
        <v>2.5999999999999999E-2</v>
      </c>
      <c r="W118" s="16">
        <v>2068</v>
      </c>
      <c r="X118" s="350">
        <f t="shared" si="62"/>
        <v>18.25</v>
      </c>
      <c r="Z118" s="16">
        <v>2068</v>
      </c>
      <c r="AA118" s="365">
        <f t="shared" si="61"/>
        <v>4.4000000000000003E-3</v>
      </c>
      <c r="AC118" s="374">
        <v>2068</v>
      </c>
      <c r="AD118" s="365">
        <v>6.4500000000000002E-2</v>
      </c>
      <c r="AE118" s="365">
        <f t="shared" si="60"/>
        <v>7.0000000000000007E-2</v>
      </c>
      <c r="AF118" s="365">
        <v>0.09</v>
      </c>
      <c r="AH118" s="16">
        <v>2068</v>
      </c>
      <c r="AI118" s="350">
        <f t="shared" si="68"/>
        <v>19339.759999999998</v>
      </c>
      <c r="AJ118" s="350">
        <f t="shared" si="69"/>
        <v>28115.43</v>
      </c>
      <c r="AL118" s="16">
        <v>2068</v>
      </c>
      <c r="AM118" s="350">
        <f t="shared" si="66"/>
        <v>15.75</v>
      </c>
      <c r="AO118" s="372">
        <v>13</v>
      </c>
      <c r="AP118" s="373">
        <v>0.4647</v>
      </c>
      <c r="AQ118" s="373">
        <v>0.4647</v>
      </c>
      <c r="AR118" s="373">
        <v>0.4647</v>
      </c>
      <c r="AS118" s="373">
        <v>0.4647</v>
      </c>
      <c r="AT118" s="373">
        <v>0.4647</v>
      </c>
      <c r="AU118" s="373">
        <v>0.4647</v>
      </c>
    </row>
    <row r="119" spans="1:47" s="15" customFormat="1" ht="15.75" outlineLevel="1" thickBot="1" x14ac:dyDescent="0.3">
      <c r="A119" s="16">
        <f t="shared" si="71"/>
        <v>2069</v>
      </c>
      <c r="B119" s="22">
        <f t="shared" si="70"/>
        <v>3.4270900000000002</v>
      </c>
      <c r="C119" s="22">
        <f t="shared" si="72"/>
        <v>242.709</v>
      </c>
      <c r="D119" s="43">
        <f t="shared" si="55"/>
        <v>2.4270900000000002</v>
      </c>
      <c r="I119" s="16">
        <v>2069</v>
      </c>
      <c r="J119" s="365">
        <f t="shared" si="63"/>
        <v>0.14599999999999999</v>
      </c>
      <c r="K119" s="365">
        <f t="shared" si="64"/>
        <v>2.9000000000000001E-2</v>
      </c>
      <c r="L119" s="365">
        <f t="shared" si="57"/>
        <v>0.17499999999999999</v>
      </c>
      <c r="N119" s="16">
        <v>2069</v>
      </c>
      <c r="O119" s="365">
        <f t="shared" si="58"/>
        <v>3.5999999999999997E-2</v>
      </c>
      <c r="Q119" s="16">
        <v>2069</v>
      </c>
      <c r="R119" s="365">
        <f t="shared" si="65"/>
        <v>0.186</v>
      </c>
      <c r="T119" s="16">
        <v>2069</v>
      </c>
      <c r="U119" s="365">
        <f t="shared" si="59"/>
        <v>2.5999999999999999E-2</v>
      </c>
      <c r="W119" s="16">
        <v>2069</v>
      </c>
      <c r="X119" s="350">
        <f t="shared" si="62"/>
        <v>18.25</v>
      </c>
      <c r="Z119" s="16">
        <v>2069</v>
      </c>
      <c r="AA119" s="365">
        <f t="shared" si="61"/>
        <v>4.4000000000000003E-3</v>
      </c>
      <c r="AC119" s="374">
        <v>2069</v>
      </c>
      <c r="AD119" s="365">
        <v>6.4500000000000002E-2</v>
      </c>
      <c r="AE119" s="365">
        <f t="shared" si="60"/>
        <v>7.0000000000000007E-2</v>
      </c>
      <c r="AF119" s="365">
        <v>0.09</v>
      </c>
      <c r="AH119" s="16">
        <v>2069</v>
      </c>
      <c r="AI119" s="350">
        <f t="shared" si="68"/>
        <v>19919.96</v>
      </c>
      <c r="AJ119" s="350">
        <f t="shared" si="69"/>
        <v>28958.91</v>
      </c>
      <c r="AL119" s="16">
        <v>2069</v>
      </c>
      <c r="AM119" s="350">
        <f t="shared" si="66"/>
        <v>15.75</v>
      </c>
      <c r="AO119" s="372">
        <v>12</v>
      </c>
      <c r="AP119" s="373">
        <v>0.4647</v>
      </c>
      <c r="AQ119" s="373">
        <v>0.4647</v>
      </c>
      <c r="AR119" s="373">
        <v>0.4647</v>
      </c>
      <c r="AS119" s="373">
        <v>0.4647</v>
      </c>
      <c r="AT119" s="373">
        <v>0.4647</v>
      </c>
      <c r="AU119" s="373">
        <v>0.4647</v>
      </c>
    </row>
    <row r="120" spans="1:47" s="15" customFormat="1" ht="15.75" outlineLevel="1" thickBot="1" x14ac:dyDescent="0.3">
      <c r="A120" s="16">
        <f t="shared" si="71"/>
        <v>2070</v>
      </c>
      <c r="B120" s="22">
        <f t="shared" si="70"/>
        <v>3.5299</v>
      </c>
      <c r="C120" s="22">
        <f t="shared" si="72"/>
        <v>252.99</v>
      </c>
      <c r="D120" s="43">
        <f t="shared" si="55"/>
        <v>2.5299</v>
      </c>
      <c r="I120" s="16">
        <v>2070</v>
      </c>
      <c r="J120" s="365">
        <f t="shared" si="63"/>
        <v>0.14599999999999999</v>
      </c>
      <c r="K120" s="365">
        <f t="shared" si="64"/>
        <v>2.9000000000000001E-2</v>
      </c>
      <c r="L120" s="365">
        <f t="shared" si="57"/>
        <v>0.17499999999999999</v>
      </c>
      <c r="N120" s="16">
        <v>2070</v>
      </c>
      <c r="O120" s="365">
        <f t="shared" si="58"/>
        <v>3.5999999999999997E-2</v>
      </c>
      <c r="Q120" s="16">
        <v>2070</v>
      </c>
      <c r="R120" s="365">
        <f t="shared" si="65"/>
        <v>0.186</v>
      </c>
      <c r="T120" s="16">
        <v>2070</v>
      </c>
      <c r="U120" s="365">
        <f t="shared" si="59"/>
        <v>2.5999999999999999E-2</v>
      </c>
      <c r="W120" s="16">
        <v>2070</v>
      </c>
      <c r="X120" s="350">
        <f t="shared" si="62"/>
        <v>18.25</v>
      </c>
      <c r="Z120" s="16">
        <v>2070</v>
      </c>
      <c r="AA120" s="365">
        <f t="shared" si="61"/>
        <v>4.4000000000000003E-3</v>
      </c>
      <c r="AC120" s="374">
        <v>2070</v>
      </c>
      <c r="AD120" s="365">
        <v>6.4500000000000002E-2</v>
      </c>
      <c r="AE120" s="365">
        <f t="shared" si="60"/>
        <v>7.0000000000000007E-2</v>
      </c>
      <c r="AF120" s="365">
        <v>0.09</v>
      </c>
      <c r="AH120" s="16">
        <v>2070</v>
      </c>
      <c r="AI120" s="350">
        <f t="shared" si="68"/>
        <v>20517.54</v>
      </c>
      <c r="AJ120" s="350">
        <f t="shared" si="69"/>
        <v>29827.66</v>
      </c>
      <c r="AL120" s="16">
        <v>2070</v>
      </c>
      <c r="AM120" s="350">
        <f t="shared" si="66"/>
        <v>15.75</v>
      </c>
      <c r="AO120" s="372">
        <v>11</v>
      </c>
      <c r="AP120" s="373">
        <v>0.74350000000000005</v>
      </c>
      <c r="AQ120" s="373">
        <v>0.74350000000000005</v>
      </c>
      <c r="AR120" s="373">
        <v>0.74350000000000005</v>
      </c>
      <c r="AS120" s="373">
        <v>0.74350000000000005</v>
      </c>
      <c r="AT120" s="373">
        <v>0.74350000000000005</v>
      </c>
      <c r="AU120" s="373">
        <v>0.74350000000000005</v>
      </c>
    </row>
    <row r="121" spans="1:47" s="15" customFormat="1" ht="15.75" outlineLevel="1" thickBot="1" x14ac:dyDescent="0.3">
      <c r="A121" s="16">
        <f t="shared" si="71"/>
        <v>2071</v>
      </c>
      <c r="B121" s="22">
        <f t="shared" si="70"/>
        <v>3.6358000000000001</v>
      </c>
      <c r="C121" s="22">
        <f t="shared" si="72"/>
        <v>263.58</v>
      </c>
      <c r="D121" s="43">
        <f t="shared" si="55"/>
        <v>2.6358000000000001</v>
      </c>
      <c r="I121" s="16">
        <v>2071</v>
      </c>
      <c r="J121" s="365">
        <f t="shared" si="63"/>
        <v>0.14599999999999999</v>
      </c>
      <c r="K121" s="365">
        <f t="shared" si="64"/>
        <v>2.9000000000000001E-2</v>
      </c>
      <c r="L121" s="365">
        <f t="shared" si="57"/>
        <v>0.17499999999999999</v>
      </c>
      <c r="N121" s="16">
        <v>2071</v>
      </c>
      <c r="O121" s="365">
        <f t="shared" si="58"/>
        <v>3.5999999999999997E-2</v>
      </c>
      <c r="Q121" s="16">
        <v>2071</v>
      </c>
      <c r="R121" s="365">
        <f t="shared" si="65"/>
        <v>0.186</v>
      </c>
      <c r="T121" s="16">
        <v>2071</v>
      </c>
      <c r="U121" s="365">
        <f t="shared" si="59"/>
        <v>2.5999999999999999E-2</v>
      </c>
      <c r="W121" s="16">
        <v>2071</v>
      </c>
      <c r="X121" s="350">
        <f t="shared" si="62"/>
        <v>18.25</v>
      </c>
      <c r="Z121" s="16">
        <v>2071</v>
      </c>
      <c r="AA121" s="365">
        <f t="shared" si="61"/>
        <v>4.4000000000000003E-3</v>
      </c>
      <c r="AC121" s="374">
        <v>2071</v>
      </c>
      <c r="AD121" s="365">
        <v>6.4500000000000002E-2</v>
      </c>
      <c r="AE121" s="365">
        <f t="shared" si="60"/>
        <v>7.0000000000000007E-2</v>
      </c>
      <c r="AF121" s="365">
        <v>0.09</v>
      </c>
      <c r="AH121" s="16">
        <v>2071</v>
      </c>
      <c r="AI121" s="350">
        <f t="shared" si="68"/>
        <v>21133.09</v>
      </c>
      <c r="AJ121" s="350">
        <f t="shared" si="69"/>
        <v>30722.51</v>
      </c>
      <c r="AL121" s="16">
        <v>2071</v>
      </c>
      <c r="AM121" s="350">
        <f t="shared" si="66"/>
        <v>15.75</v>
      </c>
      <c r="AO121" s="372">
        <v>10</v>
      </c>
      <c r="AP121" s="373">
        <v>0.74350000000000005</v>
      </c>
      <c r="AQ121" s="373">
        <v>0.74350000000000005</v>
      </c>
      <c r="AR121" s="373">
        <v>0.74350000000000005</v>
      </c>
      <c r="AS121" s="373">
        <v>0.74350000000000005</v>
      </c>
      <c r="AT121" s="373">
        <v>0.74350000000000005</v>
      </c>
      <c r="AU121" s="373">
        <v>0.74350000000000005</v>
      </c>
    </row>
    <row r="122" spans="1:47" s="15" customFormat="1" ht="15.75" outlineLevel="1" thickBot="1" x14ac:dyDescent="0.3">
      <c r="A122" s="16">
        <f t="shared" si="71"/>
        <v>2072</v>
      </c>
      <c r="B122" s="22">
        <f t="shared" si="70"/>
        <v>3.7448700000000001</v>
      </c>
      <c r="C122" s="22">
        <f t="shared" si="72"/>
        <v>274.48700000000002</v>
      </c>
      <c r="D122" s="43">
        <f t="shared" si="55"/>
        <v>2.7448700000000001</v>
      </c>
      <c r="I122" s="16">
        <v>2072</v>
      </c>
      <c r="J122" s="365">
        <f t="shared" si="63"/>
        <v>0.14599999999999999</v>
      </c>
      <c r="K122" s="365">
        <f t="shared" si="64"/>
        <v>2.9000000000000001E-2</v>
      </c>
      <c r="L122" s="365">
        <f t="shared" si="57"/>
        <v>0.17499999999999999</v>
      </c>
      <c r="N122" s="16">
        <v>2072</v>
      </c>
      <c r="O122" s="365">
        <f t="shared" si="58"/>
        <v>3.5999999999999997E-2</v>
      </c>
      <c r="Q122" s="16">
        <v>2072</v>
      </c>
      <c r="R122" s="365">
        <f t="shared" si="65"/>
        <v>0.186</v>
      </c>
      <c r="T122" s="16">
        <v>2072</v>
      </c>
      <c r="U122" s="365">
        <f t="shared" si="59"/>
        <v>2.5999999999999999E-2</v>
      </c>
      <c r="W122" s="16">
        <v>2072</v>
      </c>
      <c r="X122" s="350">
        <f t="shared" si="62"/>
        <v>18.25</v>
      </c>
      <c r="Z122" s="16">
        <v>2072</v>
      </c>
      <c r="AA122" s="365">
        <f t="shared" si="61"/>
        <v>4.4000000000000003E-3</v>
      </c>
      <c r="AC122" s="374">
        <v>2072</v>
      </c>
      <c r="AD122" s="365">
        <v>6.4500000000000002E-2</v>
      </c>
      <c r="AE122" s="365">
        <f t="shared" si="60"/>
        <v>7.0000000000000007E-2</v>
      </c>
      <c r="AF122" s="365">
        <v>0.09</v>
      </c>
      <c r="AH122" s="16">
        <v>2072</v>
      </c>
      <c r="AI122" s="350">
        <f t="shared" si="68"/>
        <v>21767.06</v>
      </c>
      <c r="AJ122" s="350">
        <f t="shared" si="69"/>
        <v>31644.15</v>
      </c>
      <c r="AL122" s="16">
        <v>2072</v>
      </c>
      <c r="AM122" s="350">
        <f t="shared" si="66"/>
        <v>15.75</v>
      </c>
      <c r="AO122" s="372" t="s">
        <v>101</v>
      </c>
      <c r="AP122" s="373">
        <v>0.74350000000000005</v>
      </c>
      <c r="AQ122" s="373">
        <v>0.74350000000000005</v>
      </c>
      <c r="AR122" s="373">
        <v>0.74350000000000005</v>
      </c>
      <c r="AS122" s="373">
        <v>0.74350000000000005</v>
      </c>
      <c r="AT122" s="373">
        <v>0.74350000000000005</v>
      </c>
      <c r="AU122" s="373">
        <v>0.74350000000000005</v>
      </c>
    </row>
    <row r="123" spans="1:47" ht="21" customHeight="1" outlineLevel="1" thickBot="1" x14ac:dyDescent="0.3">
      <c r="A123" s="16">
        <f t="shared" si="71"/>
        <v>2073</v>
      </c>
      <c r="B123" s="22">
        <f t="shared" si="70"/>
        <v>3.8572199999999999</v>
      </c>
      <c r="C123" s="22">
        <f t="shared" si="72"/>
        <v>285.72199999999998</v>
      </c>
      <c r="D123" s="43">
        <f t="shared" si="55"/>
        <v>2.8572199999999999</v>
      </c>
      <c r="I123" s="16">
        <v>2073</v>
      </c>
      <c r="J123" s="365">
        <f t="shared" si="63"/>
        <v>0.14599999999999999</v>
      </c>
      <c r="K123" s="365">
        <f t="shared" si="64"/>
        <v>2.9000000000000001E-2</v>
      </c>
      <c r="L123" s="365">
        <f t="shared" si="57"/>
        <v>0.17499999999999999</v>
      </c>
      <c r="N123" s="16">
        <v>2073</v>
      </c>
      <c r="O123" s="365">
        <f t="shared" si="58"/>
        <v>3.5999999999999997E-2</v>
      </c>
      <c r="Q123" s="16">
        <v>2073</v>
      </c>
      <c r="R123" s="365">
        <f t="shared" si="65"/>
        <v>0.186</v>
      </c>
      <c r="T123" s="16">
        <v>2073</v>
      </c>
      <c r="U123" s="365">
        <f t="shared" si="59"/>
        <v>2.5999999999999999E-2</v>
      </c>
      <c r="W123" s="16">
        <v>2073</v>
      </c>
      <c r="X123" s="350">
        <f t="shared" si="62"/>
        <v>18.25</v>
      </c>
      <c r="Z123" s="16">
        <v>2073</v>
      </c>
      <c r="AA123" s="365">
        <f t="shared" si="61"/>
        <v>4.4000000000000003E-3</v>
      </c>
      <c r="AC123" s="374">
        <v>2073</v>
      </c>
      <c r="AD123" s="365">
        <v>6.4500000000000002E-2</v>
      </c>
      <c r="AE123" s="365">
        <f t="shared" si="60"/>
        <v>7.0000000000000007E-2</v>
      </c>
      <c r="AF123" s="365">
        <v>0.09</v>
      </c>
      <c r="AG123" s="1"/>
      <c r="AH123" s="16">
        <v>2073</v>
      </c>
      <c r="AI123" s="350">
        <f t="shared" si="68"/>
        <v>22420.09</v>
      </c>
      <c r="AJ123" s="350">
        <f t="shared" si="69"/>
        <v>32593.51</v>
      </c>
      <c r="AL123" s="16">
        <v>2073</v>
      </c>
      <c r="AM123" s="350">
        <f t="shared" si="66"/>
        <v>15.75</v>
      </c>
      <c r="AN123" s="15"/>
      <c r="AO123" s="372">
        <v>9</v>
      </c>
      <c r="AP123" s="373">
        <v>0.74350000000000005</v>
      </c>
      <c r="AQ123" s="373">
        <v>0.74350000000000005</v>
      </c>
      <c r="AR123" s="373">
        <v>0.74350000000000005</v>
      </c>
      <c r="AS123" s="373">
        <v>0.74350000000000005</v>
      </c>
      <c r="AT123" s="373">
        <v>0.74350000000000005</v>
      </c>
      <c r="AU123" s="373">
        <v>0.74350000000000005</v>
      </c>
    </row>
    <row r="124" spans="1:47" ht="17.25" customHeight="1" outlineLevel="1" thickBot="1" x14ac:dyDescent="0.3">
      <c r="A124" s="16">
        <f t="shared" si="71"/>
        <v>2074</v>
      </c>
      <c r="B124" s="22">
        <f t="shared" si="70"/>
        <v>3.9729399999999999</v>
      </c>
      <c r="C124" s="22">
        <f t="shared" ref="C124" si="73">(B124*100)-100</f>
        <v>297.29399999999998</v>
      </c>
      <c r="D124" s="43">
        <f t="shared" ref="D124" si="74">C124/100</f>
        <v>2.9729399999999999</v>
      </c>
      <c r="I124" s="16">
        <v>2074</v>
      </c>
      <c r="J124" s="365">
        <f t="shared" si="63"/>
        <v>0.14599999999999999</v>
      </c>
      <c r="K124" s="365">
        <f t="shared" si="64"/>
        <v>2.9000000000000001E-2</v>
      </c>
      <c r="L124" s="365">
        <f t="shared" si="57"/>
        <v>0.17499999999999999</v>
      </c>
      <c r="N124" s="16">
        <v>2074</v>
      </c>
      <c r="O124" s="365">
        <f t="shared" si="58"/>
        <v>3.5999999999999997E-2</v>
      </c>
      <c r="Q124" s="16">
        <v>2074</v>
      </c>
      <c r="R124" s="365">
        <f t="shared" si="65"/>
        <v>0.186</v>
      </c>
      <c r="T124" s="16">
        <v>2074</v>
      </c>
      <c r="U124" s="365">
        <f t="shared" si="59"/>
        <v>2.5999999999999999E-2</v>
      </c>
      <c r="W124" s="16">
        <v>2074</v>
      </c>
      <c r="X124" s="350">
        <f t="shared" si="62"/>
        <v>18.25</v>
      </c>
      <c r="Z124" s="16">
        <v>2074</v>
      </c>
      <c r="AA124" s="365">
        <f t="shared" si="61"/>
        <v>4.4000000000000003E-3</v>
      </c>
      <c r="AC124" s="374">
        <v>2074</v>
      </c>
      <c r="AD124" s="365">
        <v>6.4500000000000002E-2</v>
      </c>
      <c r="AE124" s="365">
        <f t="shared" si="60"/>
        <v>7.0000000000000007E-2</v>
      </c>
      <c r="AF124" s="365">
        <v>0.09</v>
      </c>
      <c r="AG124" s="1"/>
      <c r="AH124" s="16">
        <v>2074</v>
      </c>
      <c r="AI124" s="350">
        <f t="shared" si="68"/>
        <v>23092.71</v>
      </c>
      <c r="AJ124" s="350">
        <f t="shared" si="69"/>
        <v>33571.339999999997</v>
      </c>
      <c r="AL124" s="16">
        <v>2074</v>
      </c>
      <c r="AM124" s="350">
        <f t="shared" si="66"/>
        <v>15.75</v>
      </c>
      <c r="AN124" s="15"/>
      <c r="AO124" s="372">
        <v>8</v>
      </c>
      <c r="AP124" s="373">
        <v>0.88139999999999996</v>
      </c>
      <c r="AQ124" s="373">
        <v>0.88139999999999996</v>
      </c>
      <c r="AR124" s="373">
        <v>0.88139999999999996</v>
      </c>
      <c r="AS124" s="373">
        <v>0.88139999999999996</v>
      </c>
      <c r="AT124" s="373">
        <v>0.88139999999999996</v>
      </c>
      <c r="AU124" s="373">
        <v>0.88139999999999996</v>
      </c>
    </row>
    <row r="125" spans="1:47" ht="15.75" thickBot="1" x14ac:dyDescent="0.3">
      <c r="AO125" s="372">
        <v>7</v>
      </c>
      <c r="AP125" s="373">
        <v>0.88139999999999996</v>
      </c>
      <c r="AQ125" s="373">
        <v>0.88139999999999996</v>
      </c>
      <c r="AR125" s="373">
        <v>0.88139999999999996</v>
      </c>
      <c r="AS125" s="373">
        <v>0.88139999999999996</v>
      </c>
      <c r="AT125" s="373">
        <v>0.88139999999999996</v>
      </c>
      <c r="AU125" s="373">
        <v>0.88139999999999996</v>
      </c>
    </row>
    <row r="126" spans="1:47" ht="15.75" thickBot="1" x14ac:dyDescent="0.3">
      <c r="AO126" s="372">
        <v>6</v>
      </c>
      <c r="AP126" s="373">
        <v>0.88139999999999996</v>
      </c>
      <c r="AQ126" s="373">
        <v>0.88139999999999996</v>
      </c>
      <c r="AR126" s="373">
        <v>0.88139999999999996</v>
      </c>
      <c r="AS126" s="373">
        <v>0.88139999999999996</v>
      </c>
      <c r="AT126" s="373">
        <v>0.88139999999999996</v>
      </c>
      <c r="AU126" s="373">
        <v>0.88139999999999996</v>
      </c>
    </row>
    <row r="127" spans="1:47" ht="15.75" thickBot="1" x14ac:dyDescent="0.3">
      <c r="AO127" s="372">
        <v>5</v>
      </c>
      <c r="AP127" s="373">
        <v>0.88139999999999996</v>
      </c>
      <c r="AQ127" s="373">
        <v>0.88139999999999996</v>
      </c>
      <c r="AR127" s="373">
        <v>0.88139999999999996</v>
      </c>
      <c r="AS127" s="373">
        <v>0.88139999999999996</v>
      </c>
      <c r="AT127" s="373">
        <v>0.88139999999999996</v>
      </c>
      <c r="AU127" s="373">
        <v>0.88139999999999996</v>
      </c>
    </row>
    <row r="128" spans="1:47" ht="15.75" thickBot="1" x14ac:dyDescent="0.3">
      <c r="AO128" s="372">
        <v>4</v>
      </c>
      <c r="AP128" s="373">
        <v>0.87429999999999997</v>
      </c>
      <c r="AQ128" s="373">
        <v>0.87429999999999997</v>
      </c>
      <c r="AR128" s="373">
        <v>0.87429999999999997</v>
      </c>
      <c r="AS128" s="373">
        <v>0.87429999999999997</v>
      </c>
      <c r="AT128" s="373">
        <v>0.87429999999999997</v>
      </c>
      <c r="AU128" s="373">
        <v>0.87429999999999997</v>
      </c>
    </row>
    <row r="129" spans="41:47" ht="15.75" thickBot="1" x14ac:dyDescent="0.3">
      <c r="AO129" s="372">
        <v>3</v>
      </c>
      <c r="AP129" s="373">
        <v>0.87429999999999997</v>
      </c>
      <c r="AQ129" s="373">
        <v>0.87429999999999997</v>
      </c>
      <c r="AR129" s="373">
        <v>0.87429999999999997</v>
      </c>
      <c r="AS129" s="373">
        <v>0.87429999999999997</v>
      </c>
      <c r="AT129" s="373">
        <v>0.87429999999999997</v>
      </c>
      <c r="AU129" s="373">
        <v>0.87429999999999997</v>
      </c>
    </row>
    <row r="130" spans="41:47" ht="15.75" thickBot="1" x14ac:dyDescent="0.3">
      <c r="AO130" s="372" t="s">
        <v>30</v>
      </c>
      <c r="AP130" s="373">
        <v>0.87429999999999997</v>
      </c>
      <c r="AQ130" s="373">
        <v>0.87429999999999997</v>
      </c>
      <c r="AR130" s="373">
        <v>0.87429999999999997</v>
      </c>
      <c r="AS130" s="373">
        <v>0.87429999999999997</v>
      </c>
      <c r="AT130" s="373">
        <v>0.87429999999999997</v>
      </c>
      <c r="AU130" s="373">
        <v>0.87429999999999997</v>
      </c>
    </row>
    <row r="131" spans="41:47" ht="15.75" thickBot="1" x14ac:dyDescent="0.3">
      <c r="AO131" s="372">
        <v>2</v>
      </c>
      <c r="AP131" s="373">
        <v>0.87429999999999997</v>
      </c>
      <c r="AQ131" s="373">
        <v>0.87429999999999997</v>
      </c>
      <c r="AR131" s="373">
        <v>0.87429999999999997</v>
      </c>
      <c r="AS131" s="373">
        <v>0.87429999999999997</v>
      </c>
      <c r="AT131" s="373">
        <v>0.87429999999999997</v>
      </c>
      <c r="AU131" s="373">
        <v>0.87429999999999997</v>
      </c>
    </row>
    <row r="132" spans="41:47" ht="15.75" thickBot="1" x14ac:dyDescent="0.3">
      <c r="AO132" s="372">
        <v>1</v>
      </c>
      <c r="AP132" s="373">
        <v>0</v>
      </c>
      <c r="AQ132" s="373">
        <v>0.87429999999999997</v>
      </c>
      <c r="AR132" s="373">
        <v>0.87429999999999997</v>
      </c>
      <c r="AS132" s="373">
        <v>0.87429999999999997</v>
      </c>
      <c r="AT132" s="373">
        <v>0.87429999999999997</v>
      </c>
      <c r="AU132" s="373">
        <v>0.87429999999999997</v>
      </c>
    </row>
    <row r="133" spans="41:47" x14ac:dyDescent="0.25">
      <c r="AO133" s="366"/>
      <c r="AP133" s="366"/>
      <c r="AQ133" s="366"/>
      <c r="AR133" s="366"/>
      <c r="AS133" s="366"/>
      <c r="AT133" s="366"/>
      <c r="AU133" s="366"/>
    </row>
    <row r="134" spans="41:47" ht="15.75" thickBot="1" x14ac:dyDescent="0.3">
      <c r="AO134" s="366"/>
      <c r="AP134" s="366"/>
      <c r="AQ134" s="366"/>
      <c r="AR134" s="366"/>
      <c r="AS134" s="366"/>
      <c r="AT134" s="366"/>
      <c r="AU134" s="366"/>
    </row>
    <row r="135" spans="41:47" ht="15.75" thickBot="1" x14ac:dyDescent="0.3">
      <c r="AO135" s="370">
        <v>2027</v>
      </c>
      <c r="AP135" s="367" t="s">
        <v>44</v>
      </c>
      <c r="AQ135" s="369"/>
      <c r="AR135" s="369"/>
      <c r="AS135" s="369"/>
      <c r="AT135" s="369"/>
      <c r="AU135" s="368"/>
    </row>
    <row r="136" spans="41:47" ht="15.75" thickBot="1" x14ac:dyDescent="0.3">
      <c r="AO136" s="371" t="s">
        <v>27</v>
      </c>
      <c r="AP136" s="371">
        <v>1</v>
      </c>
      <c r="AQ136" s="371">
        <v>2</v>
      </c>
      <c r="AR136" s="371">
        <v>3</v>
      </c>
      <c r="AS136" s="371">
        <v>4</v>
      </c>
      <c r="AT136" s="371">
        <v>5</v>
      </c>
      <c r="AU136" s="371">
        <v>6</v>
      </c>
    </row>
    <row r="137" spans="41:47" ht="15.75" thickBot="1" x14ac:dyDescent="0.3">
      <c r="AO137" s="372" t="s">
        <v>28</v>
      </c>
      <c r="AP137" s="373">
        <v>0.32529999999999998</v>
      </c>
      <c r="AQ137" s="373">
        <v>0.32529999999999998</v>
      </c>
      <c r="AR137" s="373">
        <v>0.32529999999999998</v>
      </c>
      <c r="AS137" s="373">
        <v>0.32529999999999998</v>
      </c>
      <c r="AT137" s="373">
        <v>0.32529999999999998</v>
      </c>
      <c r="AU137" s="373">
        <v>0.32529999999999998</v>
      </c>
    </row>
    <row r="138" spans="41:47" ht="15.75" thickBot="1" x14ac:dyDescent="0.3">
      <c r="AO138" s="372">
        <v>15</v>
      </c>
      <c r="AP138" s="373">
        <v>0.32529999999999998</v>
      </c>
      <c r="AQ138" s="373">
        <v>0.32529999999999998</v>
      </c>
      <c r="AR138" s="373">
        <v>0.32529999999999998</v>
      </c>
      <c r="AS138" s="373">
        <v>0.32529999999999998</v>
      </c>
      <c r="AT138" s="373">
        <v>0.32529999999999998</v>
      </c>
      <c r="AU138" s="373">
        <v>0.32529999999999998</v>
      </c>
    </row>
    <row r="139" spans="41:47" ht="15.75" thickBot="1" x14ac:dyDescent="0.3">
      <c r="AO139" s="372">
        <v>14</v>
      </c>
      <c r="AP139" s="373">
        <v>0.32529999999999998</v>
      </c>
      <c r="AQ139" s="373">
        <v>0.32529999999999998</v>
      </c>
      <c r="AR139" s="373">
        <v>0.32529999999999998</v>
      </c>
      <c r="AS139" s="373">
        <v>0.32529999999999998</v>
      </c>
      <c r="AT139" s="373">
        <v>0.32529999999999998</v>
      </c>
      <c r="AU139" s="373">
        <v>0.32529999999999998</v>
      </c>
    </row>
    <row r="140" spans="41:47" ht="15.75" thickBot="1" x14ac:dyDescent="0.3">
      <c r="AO140" s="372" t="s">
        <v>29</v>
      </c>
      <c r="AP140" s="373">
        <v>0</v>
      </c>
      <c r="AQ140" s="373">
        <v>0.4647</v>
      </c>
      <c r="AR140" s="373">
        <v>0.4647</v>
      </c>
      <c r="AS140" s="373">
        <v>0.32529999999999998</v>
      </c>
      <c r="AT140" s="373">
        <v>0.32529999999999998</v>
      </c>
      <c r="AU140" s="373">
        <v>0.32529999999999998</v>
      </c>
    </row>
    <row r="141" spans="41:47" ht="15.75" thickBot="1" x14ac:dyDescent="0.3">
      <c r="AO141" s="372">
        <v>13</v>
      </c>
      <c r="AP141" s="373">
        <v>0.4647</v>
      </c>
      <c r="AQ141" s="373">
        <v>0.4647</v>
      </c>
      <c r="AR141" s="373">
        <v>0.4647</v>
      </c>
      <c r="AS141" s="373">
        <v>0.4647</v>
      </c>
      <c r="AT141" s="373">
        <v>0.4647</v>
      </c>
      <c r="AU141" s="373">
        <v>0.4647</v>
      </c>
    </row>
    <row r="142" spans="41:47" ht="15.75" thickBot="1" x14ac:dyDescent="0.3">
      <c r="AO142" s="372">
        <v>12</v>
      </c>
      <c r="AP142" s="373">
        <v>0.4647</v>
      </c>
      <c r="AQ142" s="373">
        <v>0.4647</v>
      </c>
      <c r="AR142" s="373">
        <v>0.4647</v>
      </c>
      <c r="AS142" s="373">
        <v>0.4647</v>
      </c>
      <c r="AT142" s="373">
        <v>0.4647</v>
      </c>
      <c r="AU142" s="373">
        <v>0.4647</v>
      </c>
    </row>
    <row r="143" spans="41:47" ht="15.75" thickBot="1" x14ac:dyDescent="0.3">
      <c r="AO143" s="372">
        <v>11</v>
      </c>
      <c r="AP143" s="373">
        <v>0.74350000000000005</v>
      </c>
      <c r="AQ143" s="373">
        <v>0.74350000000000005</v>
      </c>
      <c r="AR143" s="373">
        <v>0.74350000000000005</v>
      </c>
      <c r="AS143" s="373">
        <v>0.74350000000000005</v>
      </c>
      <c r="AT143" s="373">
        <v>0.74350000000000005</v>
      </c>
      <c r="AU143" s="373">
        <v>0.74350000000000005</v>
      </c>
    </row>
    <row r="144" spans="41:47" ht="15.75" thickBot="1" x14ac:dyDescent="0.3">
      <c r="AO144" s="372">
        <v>10</v>
      </c>
      <c r="AP144" s="373">
        <v>0.74350000000000005</v>
      </c>
      <c r="AQ144" s="373">
        <v>0.74350000000000005</v>
      </c>
      <c r="AR144" s="373">
        <v>0.74350000000000005</v>
      </c>
      <c r="AS144" s="373">
        <v>0.74350000000000005</v>
      </c>
      <c r="AT144" s="373">
        <v>0.74350000000000005</v>
      </c>
      <c r="AU144" s="373">
        <v>0.74350000000000005</v>
      </c>
    </row>
    <row r="145" spans="41:47" ht="15.75" thickBot="1" x14ac:dyDescent="0.3">
      <c r="AO145" s="372" t="s">
        <v>101</v>
      </c>
      <c r="AP145" s="373">
        <v>0.74350000000000005</v>
      </c>
      <c r="AQ145" s="373">
        <v>0.74350000000000005</v>
      </c>
      <c r="AR145" s="373">
        <v>0.74350000000000005</v>
      </c>
      <c r="AS145" s="373">
        <v>0.74350000000000005</v>
      </c>
      <c r="AT145" s="373">
        <v>0.74350000000000005</v>
      </c>
      <c r="AU145" s="373">
        <v>0.74350000000000005</v>
      </c>
    </row>
    <row r="146" spans="41:47" ht="15.75" thickBot="1" x14ac:dyDescent="0.3">
      <c r="AO146" s="372">
        <v>9</v>
      </c>
      <c r="AP146" s="373">
        <v>0.74350000000000005</v>
      </c>
      <c r="AQ146" s="373">
        <v>0.74350000000000005</v>
      </c>
      <c r="AR146" s="373">
        <v>0.74350000000000005</v>
      </c>
      <c r="AS146" s="373">
        <v>0.74350000000000005</v>
      </c>
      <c r="AT146" s="373">
        <v>0.74350000000000005</v>
      </c>
      <c r="AU146" s="373">
        <v>0.74350000000000005</v>
      </c>
    </row>
    <row r="147" spans="41:47" ht="15.75" thickBot="1" x14ac:dyDescent="0.3">
      <c r="AO147" s="372">
        <v>8</v>
      </c>
      <c r="AP147" s="373">
        <v>0.88139999999999996</v>
      </c>
      <c r="AQ147" s="373">
        <v>0.88139999999999996</v>
      </c>
      <c r="AR147" s="373">
        <v>0.88139999999999996</v>
      </c>
      <c r="AS147" s="373">
        <v>0.88139999999999996</v>
      </c>
      <c r="AT147" s="373">
        <v>0.88139999999999996</v>
      </c>
      <c r="AU147" s="373">
        <v>0.88139999999999996</v>
      </c>
    </row>
    <row r="148" spans="41:47" ht="15.75" thickBot="1" x14ac:dyDescent="0.3">
      <c r="AO148" s="372">
        <v>7</v>
      </c>
      <c r="AP148" s="373">
        <v>0.88139999999999996</v>
      </c>
      <c r="AQ148" s="373">
        <v>0.88139999999999996</v>
      </c>
      <c r="AR148" s="373">
        <v>0.88139999999999996</v>
      </c>
      <c r="AS148" s="373">
        <v>0.88139999999999996</v>
      </c>
      <c r="AT148" s="373">
        <v>0.88139999999999996</v>
      </c>
      <c r="AU148" s="373">
        <v>0.88139999999999996</v>
      </c>
    </row>
    <row r="149" spans="41:47" ht="15.75" thickBot="1" x14ac:dyDescent="0.3">
      <c r="AO149" s="372">
        <v>6</v>
      </c>
      <c r="AP149" s="373">
        <v>0.88139999999999996</v>
      </c>
      <c r="AQ149" s="373">
        <v>0.88139999999999996</v>
      </c>
      <c r="AR149" s="373">
        <v>0.88139999999999996</v>
      </c>
      <c r="AS149" s="373">
        <v>0.88139999999999996</v>
      </c>
      <c r="AT149" s="373">
        <v>0.88139999999999996</v>
      </c>
      <c r="AU149" s="373">
        <v>0.88139999999999996</v>
      </c>
    </row>
    <row r="150" spans="41:47" ht="15.75" thickBot="1" x14ac:dyDescent="0.3">
      <c r="AO150" s="372">
        <v>5</v>
      </c>
      <c r="AP150" s="373">
        <v>0.88139999999999996</v>
      </c>
      <c r="AQ150" s="373">
        <v>0.88139999999999996</v>
      </c>
      <c r="AR150" s="373">
        <v>0.88139999999999996</v>
      </c>
      <c r="AS150" s="373">
        <v>0.88139999999999996</v>
      </c>
      <c r="AT150" s="373">
        <v>0.88139999999999996</v>
      </c>
      <c r="AU150" s="373">
        <v>0.88139999999999996</v>
      </c>
    </row>
    <row r="151" spans="41:47" ht="15.75" thickBot="1" x14ac:dyDescent="0.3">
      <c r="AO151" s="372">
        <v>4</v>
      </c>
      <c r="AP151" s="373">
        <v>0.87429999999999997</v>
      </c>
      <c r="AQ151" s="373">
        <v>0.87429999999999997</v>
      </c>
      <c r="AR151" s="373">
        <v>0.87429999999999997</v>
      </c>
      <c r="AS151" s="373">
        <v>0.87429999999999997</v>
      </c>
      <c r="AT151" s="373">
        <v>0.87429999999999997</v>
      </c>
      <c r="AU151" s="373">
        <v>0.87429999999999997</v>
      </c>
    </row>
    <row r="152" spans="41:47" ht="15.75" thickBot="1" x14ac:dyDescent="0.3">
      <c r="AO152" s="372">
        <v>3</v>
      </c>
      <c r="AP152" s="373">
        <v>0.87429999999999997</v>
      </c>
      <c r="AQ152" s="373">
        <v>0.87429999999999997</v>
      </c>
      <c r="AR152" s="373">
        <v>0.87429999999999997</v>
      </c>
      <c r="AS152" s="373">
        <v>0.87429999999999997</v>
      </c>
      <c r="AT152" s="373">
        <v>0.87429999999999997</v>
      </c>
      <c r="AU152" s="373">
        <v>0.87429999999999997</v>
      </c>
    </row>
    <row r="153" spans="41:47" ht="15.75" thickBot="1" x14ac:dyDescent="0.3">
      <c r="AO153" s="372" t="s">
        <v>30</v>
      </c>
      <c r="AP153" s="373">
        <v>0.87429999999999997</v>
      </c>
      <c r="AQ153" s="373">
        <v>0.87429999999999997</v>
      </c>
      <c r="AR153" s="373">
        <v>0.87429999999999997</v>
      </c>
      <c r="AS153" s="373">
        <v>0.87429999999999997</v>
      </c>
      <c r="AT153" s="373">
        <v>0.87429999999999997</v>
      </c>
      <c r="AU153" s="373">
        <v>0.87429999999999997</v>
      </c>
    </row>
    <row r="154" spans="41:47" ht="15.75" thickBot="1" x14ac:dyDescent="0.3">
      <c r="AO154" s="372">
        <v>2</v>
      </c>
      <c r="AP154" s="373">
        <v>0.87429999999999997</v>
      </c>
      <c r="AQ154" s="373">
        <v>0.87429999999999997</v>
      </c>
      <c r="AR154" s="373">
        <v>0.87429999999999997</v>
      </c>
      <c r="AS154" s="373">
        <v>0.87429999999999997</v>
      </c>
      <c r="AT154" s="373">
        <v>0.87429999999999997</v>
      </c>
      <c r="AU154" s="373">
        <v>0.87429999999999997</v>
      </c>
    </row>
    <row r="155" spans="41:47" ht="15.75" thickBot="1" x14ac:dyDescent="0.3">
      <c r="AO155" s="372">
        <v>1</v>
      </c>
      <c r="AP155" s="373">
        <v>0</v>
      </c>
      <c r="AQ155" s="373">
        <v>0.87429999999999997</v>
      </c>
      <c r="AR155" s="373">
        <v>0.87429999999999997</v>
      </c>
      <c r="AS155" s="373">
        <v>0.87429999999999997</v>
      </c>
      <c r="AT155" s="373">
        <v>0.87429999999999997</v>
      </c>
      <c r="AU155" s="373">
        <v>0.87429999999999997</v>
      </c>
    </row>
    <row r="156" spans="41:47" ht="15.75" thickBot="1" x14ac:dyDescent="0.3">
      <c r="AO156" s="366"/>
      <c r="AP156" s="366"/>
      <c r="AQ156" s="366"/>
      <c r="AR156" s="366"/>
      <c r="AS156" s="366"/>
      <c r="AT156" s="366"/>
      <c r="AU156" s="366"/>
    </row>
    <row r="157" spans="41:47" ht="15.75" thickBot="1" x14ac:dyDescent="0.3">
      <c r="AO157" s="370">
        <v>2028</v>
      </c>
      <c r="AP157" s="367" t="s">
        <v>44</v>
      </c>
      <c r="AQ157" s="369"/>
      <c r="AR157" s="369"/>
      <c r="AS157" s="369"/>
      <c r="AT157" s="369"/>
      <c r="AU157" s="368"/>
    </row>
    <row r="158" spans="41:47" ht="15.75" thickBot="1" x14ac:dyDescent="0.3">
      <c r="AO158" s="371" t="s">
        <v>27</v>
      </c>
      <c r="AP158" s="371">
        <v>1</v>
      </c>
      <c r="AQ158" s="371">
        <v>2</v>
      </c>
      <c r="AR158" s="371">
        <v>3</v>
      </c>
      <c r="AS158" s="371">
        <v>4</v>
      </c>
      <c r="AT158" s="371">
        <v>5</v>
      </c>
      <c r="AU158" s="371">
        <v>6</v>
      </c>
    </row>
    <row r="159" spans="41:47" ht="15.75" thickBot="1" x14ac:dyDescent="0.3">
      <c r="AO159" s="372" t="s">
        <v>28</v>
      </c>
      <c r="AP159" s="373">
        <v>0.32529999999999998</v>
      </c>
      <c r="AQ159" s="373">
        <v>0.32529999999999998</v>
      </c>
      <c r="AR159" s="373">
        <v>0.32529999999999998</v>
      </c>
      <c r="AS159" s="373">
        <v>0.32529999999999998</v>
      </c>
      <c r="AT159" s="373">
        <v>0.32529999999999998</v>
      </c>
      <c r="AU159" s="373">
        <v>0.32529999999999998</v>
      </c>
    </row>
    <row r="160" spans="41:47" ht="15.75" thickBot="1" x14ac:dyDescent="0.3">
      <c r="AO160" s="372">
        <v>15</v>
      </c>
      <c r="AP160" s="373">
        <v>0.32529999999999998</v>
      </c>
      <c r="AQ160" s="373">
        <v>0.32529999999999998</v>
      </c>
      <c r="AR160" s="373">
        <v>0.32529999999999998</v>
      </c>
      <c r="AS160" s="373">
        <v>0.32529999999999998</v>
      </c>
      <c r="AT160" s="373">
        <v>0.32529999999999998</v>
      </c>
      <c r="AU160" s="373">
        <v>0.32529999999999998</v>
      </c>
    </row>
    <row r="161" spans="41:47" ht="15.75" thickBot="1" x14ac:dyDescent="0.3">
      <c r="AO161" s="372">
        <v>14</v>
      </c>
      <c r="AP161" s="373">
        <v>0.32529999999999998</v>
      </c>
      <c r="AQ161" s="373">
        <v>0.32529999999999998</v>
      </c>
      <c r="AR161" s="373">
        <v>0.32529999999999998</v>
      </c>
      <c r="AS161" s="373">
        <v>0.32529999999999998</v>
      </c>
      <c r="AT161" s="373">
        <v>0.32529999999999998</v>
      </c>
      <c r="AU161" s="373">
        <v>0.32529999999999998</v>
      </c>
    </row>
    <row r="162" spans="41:47" ht="15.75" thickBot="1" x14ac:dyDescent="0.3">
      <c r="AO162" s="372" t="s">
        <v>29</v>
      </c>
      <c r="AP162" s="373">
        <v>0</v>
      </c>
      <c r="AQ162" s="373">
        <v>0.4647</v>
      </c>
      <c r="AR162" s="373">
        <v>0.4647</v>
      </c>
      <c r="AS162" s="373">
        <v>0.32529999999999998</v>
      </c>
      <c r="AT162" s="373">
        <v>0.32529999999999998</v>
      </c>
      <c r="AU162" s="373">
        <v>0.32529999999999998</v>
      </c>
    </row>
    <row r="163" spans="41:47" ht="15.75" thickBot="1" x14ac:dyDescent="0.3">
      <c r="AO163" s="372">
        <v>13</v>
      </c>
      <c r="AP163" s="373">
        <v>0.4647</v>
      </c>
      <c r="AQ163" s="373">
        <v>0.4647</v>
      </c>
      <c r="AR163" s="373">
        <v>0.4647</v>
      </c>
      <c r="AS163" s="373">
        <v>0.4647</v>
      </c>
      <c r="AT163" s="373">
        <v>0.4647</v>
      </c>
      <c r="AU163" s="373">
        <v>0.4647</v>
      </c>
    </row>
    <row r="164" spans="41:47" ht="15.75" thickBot="1" x14ac:dyDescent="0.3">
      <c r="AO164" s="372">
        <v>12</v>
      </c>
      <c r="AP164" s="373">
        <v>0.4647</v>
      </c>
      <c r="AQ164" s="373">
        <v>0.4647</v>
      </c>
      <c r="AR164" s="373">
        <v>0.4647</v>
      </c>
      <c r="AS164" s="373">
        <v>0.4647</v>
      </c>
      <c r="AT164" s="373">
        <v>0.4647</v>
      </c>
      <c r="AU164" s="373">
        <v>0.4647</v>
      </c>
    </row>
    <row r="165" spans="41:47" ht="15.75" thickBot="1" x14ac:dyDescent="0.3">
      <c r="AO165" s="372">
        <v>11</v>
      </c>
      <c r="AP165" s="373">
        <v>0.74350000000000005</v>
      </c>
      <c r="AQ165" s="373">
        <v>0.74350000000000005</v>
      </c>
      <c r="AR165" s="373">
        <v>0.74350000000000005</v>
      </c>
      <c r="AS165" s="373">
        <v>0.74350000000000005</v>
      </c>
      <c r="AT165" s="373">
        <v>0.74350000000000005</v>
      </c>
      <c r="AU165" s="373">
        <v>0.74350000000000005</v>
      </c>
    </row>
    <row r="166" spans="41:47" ht="15.75" thickBot="1" x14ac:dyDescent="0.3">
      <c r="AO166" s="372">
        <v>10</v>
      </c>
      <c r="AP166" s="373">
        <v>0.74350000000000005</v>
      </c>
      <c r="AQ166" s="373">
        <v>0.74350000000000005</v>
      </c>
      <c r="AR166" s="373">
        <v>0.74350000000000005</v>
      </c>
      <c r="AS166" s="373">
        <v>0.74350000000000005</v>
      </c>
      <c r="AT166" s="373">
        <v>0.74350000000000005</v>
      </c>
      <c r="AU166" s="373">
        <v>0.74350000000000005</v>
      </c>
    </row>
    <row r="167" spans="41:47" ht="15.75" thickBot="1" x14ac:dyDescent="0.3">
      <c r="AO167" s="372" t="s">
        <v>101</v>
      </c>
      <c r="AP167" s="373">
        <v>0.74350000000000005</v>
      </c>
      <c r="AQ167" s="373">
        <v>0.74350000000000005</v>
      </c>
      <c r="AR167" s="373">
        <v>0.74350000000000005</v>
      </c>
      <c r="AS167" s="373">
        <v>0.74350000000000005</v>
      </c>
      <c r="AT167" s="373">
        <v>0.74350000000000005</v>
      </c>
      <c r="AU167" s="373">
        <v>0.74350000000000005</v>
      </c>
    </row>
    <row r="168" spans="41:47" ht="15.75" thickBot="1" x14ac:dyDescent="0.3">
      <c r="AO168" s="372">
        <v>9</v>
      </c>
      <c r="AP168" s="373">
        <v>0.74350000000000005</v>
      </c>
      <c r="AQ168" s="373">
        <v>0.74350000000000005</v>
      </c>
      <c r="AR168" s="373">
        <v>0.74350000000000005</v>
      </c>
      <c r="AS168" s="373">
        <v>0.74350000000000005</v>
      </c>
      <c r="AT168" s="373">
        <v>0.74350000000000005</v>
      </c>
      <c r="AU168" s="373">
        <v>0.74350000000000005</v>
      </c>
    </row>
    <row r="169" spans="41:47" ht="15.75" thickBot="1" x14ac:dyDescent="0.3">
      <c r="AO169" s="372">
        <v>8</v>
      </c>
      <c r="AP169" s="373">
        <v>0.88139999999999996</v>
      </c>
      <c r="AQ169" s="373">
        <v>0.88139999999999996</v>
      </c>
      <c r="AR169" s="373">
        <v>0.88139999999999996</v>
      </c>
      <c r="AS169" s="373">
        <v>0.88139999999999996</v>
      </c>
      <c r="AT169" s="373">
        <v>0.88139999999999996</v>
      </c>
      <c r="AU169" s="373">
        <v>0.88139999999999996</v>
      </c>
    </row>
    <row r="170" spans="41:47" ht="15.75" thickBot="1" x14ac:dyDescent="0.3">
      <c r="AO170" s="372">
        <v>7</v>
      </c>
      <c r="AP170" s="373">
        <v>0.88139999999999996</v>
      </c>
      <c r="AQ170" s="373">
        <v>0.88139999999999996</v>
      </c>
      <c r="AR170" s="373">
        <v>0.88139999999999996</v>
      </c>
      <c r="AS170" s="373">
        <v>0.88139999999999996</v>
      </c>
      <c r="AT170" s="373">
        <v>0.88139999999999996</v>
      </c>
      <c r="AU170" s="373">
        <v>0.88139999999999996</v>
      </c>
    </row>
    <row r="171" spans="41:47" ht="15.75" thickBot="1" x14ac:dyDescent="0.3">
      <c r="AO171" s="372">
        <v>6</v>
      </c>
      <c r="AP171" s="373">
        <v>0.88139999999999996</v>
      </c>
      <c r="AQ171" s="373">
        <v>0.88139999999999996</v>
      </c>
      <c r="AR171" s="373">
        <v>0.88139999999999996</v>
      </c>
      <c r="AS171" s="373">
        <v>0.88139999999999996</v>
      </c>
      <c r="AT171" s="373">
        <v>0.88139999999999996</v>
      </c>
      <c r="AU171" s="373">
        <v>0.88139999999999996</v>
      </c>
    </row>
    <row r="172" spans="41:47" ht="15.75" thickBot="1" x14ac:dyDescent="0.3">
      <c r="AO172" s="372">
        <v>5</v>
      </c>
      <c r="AP172" s="373">
        <v>0.88139999999999996</v>
      </c>
      <c r="AQ172" s="373">
        <v>0.88139999999999996</v>
      </c>
      <c r="AR172" s="373">
        <v>0.88139999999999996</v>
      </c>
      <c r="AS172" s="373">
        <v>0.88139999999999996</v>
      </c>
      <c r="AT172" s="373">
        <v>0.88139999999999996</v>
      </c>
      <c r="AU172" s="373">
        <v>0.88139999999999996</v>
      </c>
    </row>
    <row r="173" spans="41:47" ht="15.75" thickBot="1" x14ac:dyDescent="0.3">
      <c r="AO173" s="372">
        <v>4</v>
      </c>
      <c r="AP173" s="373">
        <v>0.87429999999999997</v>
      </c>
      <c r="AQ173" s="373">
        <v>0.87429999999999997</v>
      </c>
      <c r="AR173" s="373">
        <v>0.87429999999999997</v>
      </c>
      <c r="AS173" s="373">
        <v>0.87429999999999997</v>
      </c>
      <c r="AT173" s="373">
        <v>0.87429999999999997</v>
      </c>
      <c r="AU173" s="373">
        <v>0.87429999999999997</v>
      </c>
    </row>
    <row r="174" spans="41:47" ht="15.75" thickBot="1" x14ac:dyDescent="0.3">
      <c r="AO174" s="372">
        <v>3</v>
      </c>
      <c r="AP174" s="373">
        <v>0.87429999999999997</v>
      </c>
      <c r="AQ174" s="373">
        <v>0.87429999999999997</v>
      </c>
      <c r="AR174" s="373">
        <v>0.87429999999999997</v>
      </c>
      <c r="AS174" s="373">
        <v>0.87429999999999997</v>
      </c>
      <c r="AT174" s="373">
        <v>0.87429999999999997</v>
      </c>
      <c r="AU174" s="373">
        <v>0.87429999999999997</v>
      </c>
    </row>
    <row r="175" spans="41:47" ht="15.75" thickBot="1" x14ac:dyDescent="0.3">
      <c r="AO175" s="372" t="s">
        <v>30</v>
      </c>
      <c r="AP175" s="373">
        <v>0.87429999999999997</v>
      </c>
      <c r="AQ175" s="373">
        <v>0.87429999999999997</v>
      </c>
      <c r="AR175" s="373">
        <v>0.87429999999999997</v>
      </c>
      <c r="AS175" s="373">
        <v>0.87429999999999997</v>
      </c>
      <c r="AT175" s="373">
        <v>0.87429999999999997</v>
      </c>
      <c r="AU175" s="373">
        <v>0.87429999999999997</v>
      </c>
    </row>
    <row r="176" spans="41:47" ht="15.75" thickBot="1" x14ac:dyDescent="0.3">
      <c r="AO176" s="372">
        <v>2</v>
      </c>
      <c r="AP176" s="373">
        <v>0.87429999999999997</v>
      </c>
      <c r="AQ176" s="373">
        <v>0.87429999999999997</v>
      </c>
      <c r="AR176" s="373">
        <v>0.87429999999999997</v>
      </c>
      <c r="AS176" s="373">
        <v>0.87429999999999997</v>
      </c>
      <c r="AT176" s="373">
        <v>0.87429999999999997</v>
      </c>
      <c r="AU176" s="373">
        <v>0.87429999999999997</v>
      </c>
    </row>
    <row r="177" spans="41:47" ht="15.75" thickBot="1" x14ac:dyDescent="0.3">
      <c r="AO177" s="372">
        <v>1</v>
      </c>
      <c r="AP177" s="373">
        <v>0</v>
      </c>
      <c r="AQ177" s="373">
        <v>0.87429999999999997</v>
      </c>
      <c r="AR177" s="373">
        <v>0.87429999999999997</v>
      </c>
      <c r="AS177" s="373">
        <v>0.87429999999999997</v>
      </c>
      <c r="AT177" s="373">
        <v>0.87429999999999997</v>
      </c>
      <c r="AU177" s="373">
        <v>0.87429999999999997</v>
      </c>
    </row>
  </sheetData>
  <mergeCells count="16">
    <mergeCell ref="A66:D66"/>
    <mergeCell ref="AO47:AO48"/>
    <mergeCell ref="A47:A48"/>
    <mergeCell ref="I47:I48"/>
    <mergeCell ref="Q47:Q48"/>
    <mergeCell ref="Y47:Y48"/>
    <mergeCell ref="AG47:AG48"/>
    <mergeCell ref="I66:L66"/>
    <mergeCell ref="N66:O66"/>
    <mergeCell ref="Q66:R66"/>
    <mergeCell ref="T66:U66"/>
    <mergeCell ref="W66:X66"/>
    <mergeCell ref="Z66:AA66"/>
    <mergeCell ref="AC66:AF66"/>
    <mergeCell ref="AH66:AJ66"/>
    <mergeCell ref="AL66:AM66"/>
  </mergeCells>
  <hyperlinks>
    <hyperlink ref="B45" r:id="rId1" xr:uid="{01BE8DC6-6606-45A1-80A0-2BD088AC3C52}"/>
  </hyperlinks>
  <pageMargins left="0.7" right="0.7" top="0.78740157499999996" bottom="0.78740157499999996" header="0.3" footer="0.3"/>
  <pageSetup paperSize="9" scale="69" fitToWidth="0" orientation="portrait" r:id="rId2"/>
  <headerFooter>
    <oddHeader>&amp;L&amp;"TheSans UHH,Fett"&amp;22&amp;UNebenkosten</oddHeader>
  </headerFooter>
  <rowBreaks count="2" manualBreakCount="2">
    <brk id="1" max="47" man="1"/>
    <brk id="69" max="16383" man="1"/>
  </rowBreaks>
  <colBreaks count="5" manualBreakCount="5">
    <brk id="8" max="57" man="1"/>
    <brk id="16" max="57" man="1"/>
    <brk id="24" max="57" man="1"/>
    <brk id="32" max="57" man="1"/>
    <brk id="40" max="57" man="1"/>
  </colBreaks>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8">
    <tabColor theme="2" tint="-9.9978637043366805E-2"/>
    <pageSetUpPr fitToPage="1"/>
  </sheetPr>
  <dimension ref="A2:R81"/>
  <sheetViews>
    <sheetView showGridLines="0" view="pageBreakPreview" zoomScale="70" zoomScaleNormal="100" zoomScaleSheetLayoutView="70" workbookViewId="0">
      <selection activeCell="J15" sqref="J15:K16"/>
    </sheetView>
  </sheetViews>
  <sheetFormatPr baseColWidth="10" defaultColWidth="11.42578125" defaultRowHeight="18.75" outlineLevelRow="2" outlineLevelCol="1" x14ac:dyDescent="0.25"/>
  <cols>
    <col min="1" max="1" width="24.42578125" style="48" customWidth="1"/>
    <col min="2" max="3" width="20.7109375" style="48" customWidth="1" outlineLevel="1"/>
    <col min="4" max="5" width="20.7109375" style="48" customWidth="1"/>
    <col min="6" max="7" width="22.7109375" style="48" customWidth="1"/>
    <col min="8" max="8" width="26" style="353" customWidth="1"/>
    <col min="9" max="9" width="22.7109375" style="353" customWidth="1"/>
    <col min="10" max="10" width="24.140625" style="48" customWidth="1"/>
    <col min="11" max="11" width="22.7109375" style="353" customWidth="1"/>
    <col min="12" max="12" width="25.5703125" style="353" customWidth="1"/>
    <col min="13" max="13" width="22.7109375" style="48" customWidth="1"/>
    <col min="14" max="14" width="11.42578125" style="48"/>
    <col min="15" max="15" width="17.140625" style="48" customWidth="1"/>
    <col min="16" max="16" width="18.42578125" style="48" customWidth="1"/>
    <col min="17" max="17" width="11.42578125" style="48"/>
    <col min="18" max="18" width="11.42578125" style="48" customWidth="1" outlineLevel="1"/>
    <col min="19" max="16384" width="11.42578125" style="48"/>
  </cols>
  <sheetData>
    <row r="2" spans="1:18" x14ac:dyDescent="0.25">
      <c r="A2" s="47" t="s">
        <v>153</v>
      </c>
      <c r="B2" s="47"/>
      <c r="C2" s="47"/>
    </row>
    <row r="3" spans="1:18" x14ac:dyDescent="0.25">
      <c r="A3" s="47"/>
      <c r="B3" s="47"/>
      <c r="C3" s="47"/>
    </row>
    <row r="4" spans="1:18" ht="19.5" thickBot="1" x14ac:dyDescent="0.3">
      <c r="A4" s="47" t="s">
        <v>185</v>
      </c>
      <c r="B4" s="47"/>
      <c r="C4" s="47"/>
    </row>
    <row r="5" spans="1:18" ht="39.75" customHeight="1" thickBot="1" x14ac:dyDescent="0.45">
      <c r="A5" s="352"/>
      <c r="F5" s="896" t="s">
        <v>150</v>
      </c>
      <c r="G5" s="896"/>
      <c r="H5" s="897" t="s">
        <v>151</v>
      </c>
      <c r="I5" s="898"/>
      <c r="J5" s="892" t="s">
        <v>215</v>
      </c>
      <c r="K5" s="893"/>
      <c r="L5" s="894" t="s">
        <v>216</v>
      </c>
      <c r="M5" s="895"/>
    </row>
    <row r="6" spans="1:18" ht="44.25" customHeight="1" thickBot="1" x14ac:dyDescent="0.3">
      <c r="A6" s="361" t="s">
        <v>58</v>
      </c>
      <c r="B6" s="359"/>
      <c r="C6" s="359"/>
      <c r="D6" s="358" t="s">
        <v>210</v>
      </c>
      <c r="E6" s="358" t="s">
        <v>211</v>
      </c>
      <c r="F6" s="357" t="s">
        <v>208</v>
      </c>
      <c r="G6" s="356" t="s">
        <v>209</v>
      </c>
      <c r="H6" s="357" t="s">
        <v>208</v>
      </c>
      <c r="I6" s="359" t="s">
        <v>209</v>
      </c>
      <c r="J6" s="357" t="s">
        <v>208</v>
      </c>
      <c r="K6" s="359" t="s">
        <v>209</v>
      </c>
      <c r="L6" s="357" t="s">
        <v>208</v>
      </c>
      <c r="M6" s="359" t="s">
        <v>209</v>
      </c>
      <c r="N6" s="416" t="s">
        <v>196</v>
      </c>
      <c r="O6" s="416" t="s">
        <v>197</v>
      </c>
      <c r="P6" s="416" t="s">
        <v>198</v>
      </c>
      <c r="R6" s="48" t="s">
        <v>92</v>
      </c>
    </row>
    <row r="7" spans="1:18" ht="24.75" hidden="1" customHeight="1" outlineLevel="1" thickBot="1" x14ac:dyDescent="0.3">
      <c r="A7" s="333">
        <v>2018</v>
      </c>
      <c r="B7" s="57">
        <v>0</v>
      </c>
      <c r="C7" s="57">
        <v>0</v>
      </c>
      <c r="D7" s="49">
        <f>B7/100</f>
        <v>0</v>
      </c>
      <c r="E7" s="49">
        <f>C7/100</f>
        <v>0</v>
      </c>
      <c r="F7" s="355">
        <v>9.91</v>
      </c>
      <c r="G7" s="355">
        <v>10.130000000000001</v>
      </c>
      <c r="H7" s="360">
        <v>0</v>
      </c>
      <c r="I7" s="360">
        <v>0</v>
      </c>
      <c r="J7" s="355">
        <v>166.4</v>
      </c>
      <c r="K7" s="355">
        <v>181.45</v>
      </c>
      <c r="L7" s="355">
        <v>105.16</v>
      </c>
      <c r="M7" s="355">
        <v>114.67</v>
      </c>
      <c r="N7" s="360"/>
      <c r="O7" s="417">
        <v>0</v>
      </c>
      <c r="P7" s="418">
        <v>0</v>
      </c>
      <c r="R7" s="48">
        <v>1.03</v>
      </c>
    </row>
    <row r="8" spans="1:18" ht="24.75" hidden="1" customHeight="1" outlineLevel="1" thickBot="1" x14ac:dyDescent="0.3">
      <c r="A8" s="333">
        <f>A7+1</f>
        <v>2019</v>
      </c>
      <c r="B8" s="57">
        <f>C7</f>
        <v>0</v>
      </c>
      <c r="C8" s="57">
        <v>0</v>
      </c>
      <c r="D8" s="49">
        <f t="shared" ref="D8:D53" si="0">B8/100</f>
        <v>0</v>
      </c>
      <c r="E8" s="49">
        <f t="shared" ref="E8:E53" si="1">C8/100</f>
        <v>0</v>
      </c>
      <c r="F8" s="354">
        <v>10.130000000000001</v>
      </c>
      <c r="G8" s="354">
        <v>10.44</v>
      </c>
      <c r="H8" s="354">
        <v>0</v>
      </c>
      <c r="I8" s="354">
        <v>0</v>
      </c>
      <c r="J8" s="354">
        <v>181.45</v>
      </c>
      <c r="K8" s="354">
        <v>181.45</v>
      </c>
      <c r="L8" s="354">
        <v>114.67</v>
      </c>
      <c r="M8" s="354">
        <v>114.67</v>
      </c>
      <c r="N8" s="354"/>
      <c r="O8" s="417">
        <v>0</v>
      </c>
      <c r="P8" s="418">
        <v>0</v>
      </c>
    </row>
    <row r="9" spans="1:18" ht="24.75" hidden="1" customHeight="1" outlineLevel="1" thickBot="1" x14ac:dyDescent="0.3">
      <c r="A9" s="333">
        <f t="shared" ref="A9:A53" si="2">A8+1</f>
        <v>2020</v>
      </c>
      <c r="B9" s="57">
        <f>C8</f>
        <v>0</v>
      </c>
      <c r="C9" s="57">
        <v>0</v>
      </c>
      <c r="D9" s="49">
        <f t="shared" si="0"/>
        <v>0</v>
      </c>
      <c r="E9" s="49">
        <f t="shared" si="1"/>
        <v>0</v>
      </c>
      <c r="F9" s="355">
        <v>10.44</v>
      </c>
      <c r="G9" s="355">
        <v>10.77</v>
      </c>
      <c r="H9" s="360">
        <v>12.52</v>
      </c>
      <c r="I9" s="360">
        <v>12.52</v>
      </c>
      <c r="J9" s="354">
        <v>181.45</v>
      </c>
      <c r="K9" s="355">
        <v>181.45</v>
      </c>
      <c r="L9" s="355">
        <v>114.67</v>
      </c>
      <c r="M9" s="355">
        <v>114.67</v>
      </c>
      <c r="N9" s="360"/>
      <c r="O9" s="417">
        <v>0</v>
      </c>
      <c r="P9" s="418">
        <v>0</v>
      </c>
    </row>
    <row r="10" spans="1:18" ht="24.75" hidden="1" customHeight="1" outlineLevel="1" thickBot="1" x14ac:dyDescent="0.3">
      <c r="A10" s="333">
        <f t="shared" si="2"/>
        <v>2021</v>
      </c>
      <c r="B10" s="57">
        <f t="shared" ref="B10:B14" si="3">C9</f>
        <v>0</v>
      </c>
      <c r="C10" s="57">
        <v>0</v>
      </c>
      <c r="D10" s="49">
        <f t="shared" si="0"/>
        <v>0</v>
      </c>
      <c r="E10" s="49">
        <f t="shared" si="1"/>
        <v>0</v>
      </c>
      <c r="F10" s="355">
        <v>10.77</v>
      </c>
      <c r="G10" s="355">
        <v>10.91</v>
      </c>
      <c r="H10" s="360">
        <v>12.52</v>
      </c>
      <c r="I10" s="360">
        <v>12.68</v>
      </c>
      <c r="J10" s="354">
        <v>181.45</v>
      </c>
      <c r="K10" s="355">
        <v>194.91</v>
      </c>
      <c r="L10" s="355">
        <v>114.67</v>
      </c>
      <c r="M10" s="355">
        <v>123.18</v>
      </c>
      <c r="N10" s="360">
        <v>450</v>
      </c>
      <c r="O10" s="417">
        <v>0</v>
      </c>
      <c r="P10" s="418">
        <v>0</v>
      </c>
    </row>
    <row r="11" spans="1:18" ht="24.75" hidden="1" customHeight="1" outlineLevel="1" thickBot="1" x14ac:dyDescent="0.3">
      <c r="A11" s="333">
        <f t="shared" si="2"/>
        <v>2022</v>
      </c>
      <c r="B11" s="57">
        <f t="shared" si="3"/>
        <v>0</v>
      </c>
      <c r="C11" s="57">
        <v>0</v>
      </c>
      <c r="D11" s="49">
        <f t="shared" si="0"/>
        <v>0</v>
      </c>
      <c r="E11" s="49">
        <v>0</v>
      </c>
      <c r="F11" s="355">
        <f>G10</f>
        <v>10.91</v>
      </c>
      <c r="G11" s="355">
        <v>12</v>
      </c>
      <c r="H11" s="360">
        <f>I10</f>
        <v>12.68</v>
      </c>
      <c r="I11" s="360">
        <v>13.95</v>
      </c>
      <c r="J11" s="360">
        <v>194.91</v>
      </c>
      <c r="K11" s="360">
        <v>214.14</v>
      </c>
      <c r="L11" s="360">
        <v>123.18</v>
      </c>
      <c r="M11" s="360">
        <v>135.44</v>
      </c>
      <c r="N11" s="360">
        <v>450</v>
      </c>
      <c r="O11" s="417">
        <v>0</v>
      </c>
      <c r="P11" s="418">
        <v>0</v>
      </c>
    </row>
    <row r="12" spans="1:18" ht="24.75" hidden="1" customHeight="1" outlineLevel="1" thickBot="1" x14ac:dyDescent="0.3">
      <c r="A12" s="333">
        <f t="shared" si="2"/>
        <v>2023</v>
      </c>
      <c r="B12" s="57">
        <f t="shared" si="3"/>
        <v>0</v>
      </c>
      <c r="C12" s="57">
        <v>0</v>
      </c>
      <c r="D12" s="49">
        <v>0</v>
      </c>
      <c r="E12" s="49">
        <f t="shared" si="1"/>
        <v>0</v>
      </c>
      <c r="F12" s="355">
        <f>G11</f>
        <v>12</v>
      </c>
      <c r="G12" s="355">
        <f t="shared" ref="G12:M12" si="4">G11</f>
        <v>12</v>
      </c>
      <c r="H12" s="360">
        <f>I11</f>
        <v>13.95</v>
      </c>
      <c r="I12" s="360">
        <f t="shared" ref="I12" si="5">I11</f>
        <v>13.95</v>
      </c>
      <c r="J12" s="360">
        <v>214.14</v>
      </c>
      <c r="K12" s="360">
        <f t="shared" si="4"/>
        <v>214.14</v>
      </c>
      <c r="L12" s="360">
        <v>135.44</v>
      </c>
      <c r="M12" s="360">
        <f t="shared" si="4"/>
        <v>135.44</v>
      </c>
      <c r="N12" s="360">
        <v>520</v>
      </c>
      <c r="O12" s="419">
        <v>0.69220000000000004</v>
      </c>
      <c r="P12" s="360">
        <v>2000</v>
      </c>
    </row>
    <row r="13" spans="1:18" ht="24.75" hidden="1" customHeight="1" outlineLevel="1" collapsed="1" thickBot="1" x14ac:dyDescent="0.3">
      <c r="A13" s="333">
        <f t="shared" si="2"/>
        <v>2024</v>
      </c>
      <c r="B13" s="57">
        <f t="shared" si="3"/>
        <v>0</v>
      </c>
      <c r="C13" s="57">
        <v>0</v>
      </c>
      <c r="D13" s="49">
        <f t="shared" si="0"/>
        <v>0</v>
      </c>
      <c r="E13" s="49">
        <f t="shared" si="1"/>
        <v>0</v>
      </c>
      <c r="F13" s="360">
        <v>12.41</v>
      </c>
      <c r="G13" s="360">
        <v>13.25</v>
      </c>
      <c r="H13" s="360">
        <v>14.42</v>
      </c>
      <c r="I13" s="360">
        <v>15.21</v>
      </c>
      <c r="J13" s="360">
        <v>221.42</v>
      </c>
      <c r="K13" s="360">
        <v>233.6</v>
      </c>
      <c r="L13" s="360">
        <v>140.04</v>
      </c>
      <c r="M13" s="360">
        <v>149.52000000000001</v>
      </c>
      <c r="N13" s="360">
        <v>538</v>
      </c>
      <c r="O13" s="419">
        <v>0.68459999999999999</v>
      </c>
      <c r="P13" s="360">
        <v>2000</v>
      </c>
    </row>
    <row r="14" spans="1:18" ht="24.75" hidden="1" customHeight="1" outlineLevel="2" thickBot="1" x14ac:dyDescent="0.3">
      <c r="A14" s="333">
        <f t="shared" si="2"/>
        <v>2025</v>
      </c>
      <c r="B14" s="57">
        <f t="shared" si="3"/>
        <v>0</v>
      </c>
      <c r="C14" s="57">
        <v>0</v>
      </c>
      <c r="D14" s="49">
        <f t="shared" si="0"/>
        <v>0</v>
      </c>
      <c r="E14" s="49">
        <v>0</v>
      </c>
      <c r="F14" s="360">
        <v>13.25</v>
      </c>
      <c r="G14" s="360">
        <v>13.98</v>
      </c>
      <c r="H14" s="360">
        <v>15.21</v>
      </c>
      <c r="I14" s="360">
        <v>16.05</v>
      </c>
      <c r="J14" s="360">
        <v>233.6</v>
      </c>
      <c r="K14" s="360">
        <v>246.45</v>
      </c>
      <c r="L14" s="360">
        <v>149.52000000000001</v>
      </c>
      <c r="M14" s="360">
        <v>157.74</v>
      </c>
      <c r="N14" s="360">
        <v>556</v>
      </c>
      <c r="O14" s="419">
        <f t="shared" ref="N14:P53" si="6">O13</f>
        <v>0.68459999999999999</v>
      </c>
      <c r="P14" s="360">
        <v>2000</v>
      </c>
    </row>
    <row r="15" spans="1:18" ht="24.75" customHeight="1" collapsed="1" thickBot="1" x14ac:dyDescent="0.3">
      <c r="A15" s="333">
        <f t="shared" si="2"/>
        <v>2026</v>
      </c>
      <c r="B15" s="57">
        <f>C14</f>
        <v>0</v>
      </c>
      <c r="C15" s="57">
        <v>0</v>
      </c>
      <c r="D15" s="49">
        <f t="shared" si="0"/>
        <v>0</v>
      </c>
      <c r="E15" s="49">
        <f t="shared" si="1"/>
        <v>0</v>
      </c>
      <c r="F15" s="360">
        <v>13.98</v>
      </c>
      <c r="G15" s="360">
        <v>15.2</v>
      </c>
      <c r="H15" s="360">
        <v>16.05</v>
      </c>
      <c r="I15" s="360">
        <v>17.39</v>
      </c>
      <c r="J15" s="360">
        <f>K14</f>
        <v>246.45</v>
      </c>
      <c r="K15" s="360">
        <v>267.02999999999997</v>
      </c>
      <c r="L15" s="360">
        <f>M14</f>
        <v>157.74</v>
      </c>
      <c r="M15" s="360">
        <v>165.22</v>
      </c>
      <c r="N15" s="360">
        <v>603</v>
      </c>
      <c r="O15" s="419">
        <v>0.66190000000000004</v>
      </c>
      <c r="P15" s="360">
        <f>P14</f>
        <v>2000</v>
      </c>
    </row>
    <row r="16" spans="1:18" ht="24.75" customHeight="1" outlineLevel="1" thickBot="1" x14ac:dyDescent="0.3">
      <c r="A16" s="333">
        <f t="shared" si="2"/>
        <v>2027</v>
      </c>
      <c r="B16" s="57">
        <f t="shared" ref="B16:B53" si="7">C15</f>
        <v>0</v>
      </c>
      <c r="C16" s="57">
        <v>0</v>
      </c>
      <c r="D16" s="49">
        <f t="shared" si="0"/>
        <v>0</v>
      </c>
      <c r="E16" s="49">
        <f t="shared" si="1"/>
        <v>0</v>
      </c>
      <c r="F16" s="360">
        <v>15.2</v>
      </c>
      <c r="G16" s="360">
        <v>15.9</v>
      </c>
      <c r="H16" s="360">
        <f t="shared" ref="H16:H53" si="8">I15</f>
        <v>17.39</v>
      </c>
      <c r="I16" s="360">
        <v>18.190000000000001</v>
      </c>
      <c r="J16" s="360">
        <f t="shared" ref="J16:J53" si="9">K15</f>
        <v>267.02999999999997</v>
      </c>
      <c r="K16" s="360">
        <v>278.86</v>
      </c>
      <c r="L16" s="360">
        <f t="shared" ref="L16:L53" si="10">M15</f>
        <v>165.22</v>
      </c>
      <c r="M16" s="360">
        <v>172.84</v>
      </c>
      <c r="N16" s="360">
        <v>633</v>
      </c>
      <c r="O16" s="419">
        <f t="shared" si="6"/>
        <v>0.66190000000000004</v>
      </c>
      <c r="P16" s="360">
        <f t="shared" si="6"/>
        <v>2000</v>
      </c>
    </row>
    <row r="17" spans="1:16" ht="24.75" customHeight="1" outlineLevel="1" thickBot="1" x14ac:dyDescent="0.3">
      <c r="A17" s="333">
        <f t="shared" si="2"/>
        <v>2028</v>
      </c>
      <c r="B17" s="57">
        <f t="shared" si="7"/>
        <v>0</v>
      </c>
      <c r="C17" s="57">
        <f t="shared" ref="C17:C53" si="11">((C16+100)/100*$R$7)*100-100</f>
        <v>3</v>
      </c>
      <c r="D17" s="49">
        <f t="shared" si="0"/>
        <v>0</v>
      </c>
      <c r="E17" s="49">
        <f t="shared" si="1"/>
        <v>0.03</v>
      </c>
      <c r="F17" s="360">
        <f t="shared" ref="F17:F53" si="12">G16</f>
        <v>15.9</v>
      </c>
      <c r="G17" s="360">
        <f t="shared" ref="G17:I53" si="13">G16</f>
        <v>15.9</v>
      </c>
      <c r="H17" s="360">
        <f t="shared" si="8"/>
        <v>18.190000000000001</v>
      </c>
      <c r="I17" s="360">
        <f t="shared" si="13"/>
        <v>18.190000000000001</v>
      </c>
      <c r="J17" s="360">
        <f t="shared" si="9"/>
        <v>278.86</v>
      </c>
      <c r="K17" s="360">
        <f t="shared" ref="K17:K53" si="14">K16</f>
        <v>278.86</v>
      </c>
      <c r="L17" s="360">
        <f t="shared" si="10"/>
        <v>172.84</v>
      </c>
      <c r="M17" s="360">
        <f t="shared" ref="M17:M53" si="15">M16</f>
        <v>172.84</v>
      </c>
      <c r="N17" s="360">
        <f t="shared" si="6"/>
        <v>633</v>
      </c>
      <c r="O17" s="419">
        <f t="shared" si="6"/>
        <v>0.66190000000000004</v>
      </c>
      <c r="P17" s="360">
        <f t="shared" si="6"/>
        <v>2000</v>
      </c>
    </row>
    <row r="18" spans="1:16" ht="24.75" customHeight="1" outlineLevel="1" thickBot="1" x14ac:dyDescent="0.3">
      <c r="A18" s="333">
        <f t="shared" si="2"/>
        <v>2029</v>
      </c>
      <c r="B18" s="57">
        <f t="shared" si="7"/>
        <v>3</v>
      </c>
      <c r="C18" s="57">
        <f t="shared" si="11"/>
        <v>6.09</v>
      </c>
      <c r="D18" s="49">
        <f t="shared" si="0"/>
        <v>0.03</v>
      </c>
      <c r="E18" s="49">
        <f t="shared" si="1"/>
        <v>6.0900000000000003E-2</v>
      </c>
      <c r="F18" s="360">
        <f t="shared" si="12"/>
        <v>15.9</v>
      </c>
      <c r="G18" s="360">
        <f t="shared" si="13"/>
        <v>15.9</v>
      </c>
      <c r="H18" s="360">
        <f t="shared" si="8"/>
        <v>18.190000000000001</v>
      </c>
      <c r="I18" s="360">
        <f t="shared" si="13"/>
        <v>18.190000000000001</v>
      </c>
      <c r="J18" s="360">
        <f t="shared" si="9"/>
        <v>278.86</v>
      </c>
      <c r="K18" s="360">
        <f t="shared" si="14"/>
        <v>278.86</v>
      </c>
      <c r="L18" s="360">
        <f t="shared" si="10"/>
        <v>172.84</v>
      </c>
      <c r="M18" s="360">
        <f t="shared" si="15"/>
        <v>172.84</v>
      </c>
      <c r="N18" s="360">
        <f t="shared" si="6"/>
        <v>633</v>
      </c>
      <c r="O18" s="419">
        <f t="shared" si="6"/>
        <v>0.66190000000000004</v>
      </c>
      <c r="P18" s="360">
        <f t="shared" si="6"/>
        <v>2000</v>
      </c>
    </row>
    <row r="19" spans="1:16" ht="24.75" customHeight="1" outlineLevel="1" thickBot="1" x14ac:dyDescent="0.3">
      <c r="A19" s="333">
        <f t="shared" si="2"/>
        <v>2030</v>
      </c>
      <c r="B19" s="57">
        <f t="shared" si="7"/>
        <v>6.09</v>
      </c>
      <c r="C19" s="57">
        <f t="shared" si="11"/>
        <v>9.2727000000000004</v>
      </c>
      <c r="D19" s="49">
        <f t="shared" si="0"/>
        <v>6.0900000000000003E-2</v>
      </c>
      <c r="E19" s="49">
        <f t="shared" si="1"/>
        <v>9.2730000000000007E-2</v>
      </c>
      <c r="F19" s="360">
        <f t="shared" si="12"/>
        <v>15.9</v>
      </c>
      <c r="G19" s="360">
        <f t="shared" si="13"/>
        <v>15.9</v>
      </c>
      <c r="H19" s="360">
        <f t="shared" si="8"/>
        <v>18.190000000000001</v>
      </c>
      <c r="I19" s="360">
        <f t="shared" si="13"/>
        <v>18.190000000000001</v>
      </c>
      <c r="J19" s="360">
        <f t="shared" si="9"/>
        <v>278.86</v>
      </c>
      <c r="K19" s="360">
        <f t="shared" si="14"/>
        <v>278.86</v>
      </c>
      <c r="L19" s="360">
        <f t="shared" si="10"/>
        <v>172.84</v>
      </c>
      <c r="M19" s="360">
        <f t="shared" si="15"/>
        <v>172.84</v>
      </c>
      <c r="N19" s="360">
        <f t="shared" si="6"/>
        <v>633</v>
      </c>
      <c r="O19" s="419">
        <f t="shared" si="6"/>
        <v>0.66190000000000004</v>
      </c>
      <c r="P19" s="360">
        <f t="shared" si="6"/>
        <v>2000</v>
      </c>
    </row>
    <row r="20" spans="1:16" ht="24.75" customHeight="1" outlineLevel="1" thickBot="1" x14ac:dyDescent="0.3">
      <c r="A20" s="333">
        <f t="shared" si="2"/>
        <v>2031</v>
      </c>
      <c r="B20" s="57">
        <f t="shared" si="7"/>
        <v>9.2727000000000004</v>
      </c>
      <c r="C20" s="57">
        <f t="shared" si="11"/>
        <v>12.550879999999999</v>
      </c>
      <c r="D20" s="49">
        <f t="shared" si="0"/>
        <v>9.2730000000000007E-2</v>
      </c>
      <c r="E20" s="49">
        <f t="shared" si="1"/>
        <v>0.12551000000000001</v>
      </c>
      <c r="F20" s="360">
        <f t="shared" si="12"/>
        <v>15.9</v>
      </c>
      <c r="G20" s="360">
        <f t="shared" si="13"/>
        <v>15.9</v>
      </c>
      <c r="H20" s="360">
        <f t="shared" si="8"/>
        <v>18.190000000000001</v>
      </c>
      <c r="I20" s="360">
        <f t="shared" si="13"/>
        <v>18.190000000000001</v>
      </c>
      <c r="J20" s="360">
        <f t="shared" si="9"/>
        <v>278.86</v>
      </c>
      <c r="K20" s="360">
        <f t="shared" si="14"/>
        <v>278.86</v>
      </c>
      <c r="L20" s="360">
        <f t="shared" si="10"/>
        <v>172.84</v>
      </c>
      <c r="M20" s="360">
        <f t="shared" si="15"/>
        <v>172.84</v>
      </c>
      <c r="N20" s="360">
        <f t="shared" si="6"/>
        <v>633</v>
      </c>
      <c r="O20" s="419">
        <f t="shared" si="6"/>
        <v>0.66190000000000004</v>
      </c>
      <c r="P20" s="360">
        <f t="shared" si="6"/>
        <v>2000</v>
      </c>
    </row>
    <row r="21" spans="1:16" ht="24.75" customHeight="1" outlineLevel="1" thickBot="1" x14ac:dyDescent="0.3">
      <c r="A21" s="333">
        <f t="shared" si="2"/>
        <v>2032</v>
      </c>
      <c r="B21" s="57">
        <f t="shared" si="7"/>
        <v>12.550879999999999</v>
      </c>
      <c r="C21" s="57">
        <f t="shared" si="11"/>
        <v>15.92741</v>
      </c>
      <c r="D21" s="49">
        <f t="shared" si="0"/>
        <v>0.12551000000000001</v>
      </c>
      <c r="E21" s="49">
        <f t="shared" si="1"/>
        <v>0.15926999999999999</v>
      </c>
      <c r="F21" s="360">
        <f t="shared" si="12"/>
        <v>15.9</v>
      </c>
      <c r="G21" s="360">
        <f t="shared" si="13"/>
        <v>15.9</v>
      </c>
      <c r="H21" s="360">
        <f t="shared" si="8"/>
        <v>18.190000000000001</v>
      </c>
      <c r="I21" s="360">
        <f t="shared" si="13"/>
        <v>18.190000000000001</v>
      </c>
      <c r="J21" s="360">
        <f t="shared" si="9"/>
        <v>278.86</v>
      </c>
      <c r="K21" s="360">
        <f t="shared" si="14"/>
        <v>278.86</v>
      </c>
      <c r="L21" s="360">
        <f t="shared" si="10"/>
        <v>172.84</v>
      </c>
      <c r="M21" s="360">
        <f t="shared" si="15"/>
        <v>172.84</v>
      </c>
      <c r="N21" s="360">
        <f t="shared" si="6"/>
        <v>633</v>
      </c>
      <c r="O21" s="419">
        <f t="shared" si="6"/>
        <v>0.66190000000000004</v>
      </c>
      <c r="P21" s="360">
        <f t="shared" si="6"/>
        <v>2000</v>
      </c>
    </row>
    <row r="22" spans="1:16" ht="24.75" customHeight="1" outlineLevel="1" thickBot="1" x14ac:dyDescent="0.3">
      <c r="A22" s="333">
        <f t="shared" si="2"/>
        <v>2033</v>
      </c>
      <c r="B22" s="57">
        <f t="shared" si="7"/>
        <v>15.92741</v>
      </c>
      <c r="C22" s="57">
        <f t="shared" si="11"/>
        <v>19.40523</v>
      </c>
      <c r="D22" s="49">
        <f t="shared" si="0"/>
        <v>0.15926999999999999</v>
      </c>
      <c r="E22" s="49">
        <f t="shared" si="1"/>
        <v>0.19405</v>
      </c>
      <c r="F22" s="360">
        <f t="shared" si="12"/>
        <v>15.9</v>
      </c>
      <c r="G22" s="360">
        <f t="shared" si="13"/>
        <v>15.9</v>
      </c>
      <c r="H22" s="360">
        <f t="shared" si="8"/>
        <v>18.190000000000001</v>
      </c>
      <c r="I22" s="360">
        <f t="shared" si="13"/>
        <v>18.190000000000001</v>
      </c>
      <c r="J22" s="360">
        <f t="shared" si="9"/>
        <v>278.86</v>
      </c>
      <c r="K22" s="360">
        <f t="shared" si="14"/>
        <v>278.86</v>
      </c>
      <c r="L22" s="360">
        <f t="shared" si="10"/>
        <v>172.84</v>
      </c>
      <c r="M22" s="360">
        <f t="shared" si="15"/>
        <v>172.84</v>
      </c>
      <c r="N22" s="360">
        <f t="shared" si="6"/>
        <v>633</v>
      </c>
      <c r="O22" s="419">
        <f t="shared" si="6"/>
        <v>0.66190000000000004</v>
      </c>
      <c r="P22" s="360">
        <f t="shared" si="6"/>
        <v>2000</v>
      </c>
    </row>
    <row r="23" spans="1:16" ht="24.75" customHeight="1" outlineLevel="1" thickBot="1" x14ac:dyDescent="0.3">
      <c r="A23" s="333">
        <f t="shared" si="2"/>
        <v>2034</v>
      </c>
      <c r="B23" s="57">
        <f t="shared" si="7"/>
        <v>19.40523</v>
      </c>
      <c r="C23" s="57">
        <f t="shared" si="11"/>
        <v>22.987390000000001</v>
      </c>
      <c r="D23" s="49">
        <f t="shared" si="0"/>
        <v>0.19405</v>
      </c>
      <c r="E23" s="49">
        <f t="shared" si="1"/>
        <v>0.22986999999999999</v>
      </c>
      <c r="F23" s="360">
        <f t="shared" si="12"/>
        <v>15.9</v>
      </c>
      <c r="G23" s="360">
        <f t="shared" si="13"/>
        <v>15.9</v>
      </c>
      <c r="H23" s="360">
        <f t="shared" si="8"/>
        <v>18.190000000000001</v>
      </c>
      <c r="I23" s="360">
        <f t="shared" si="13"/>
        <v>18.190000000000001</v>
      </c>
      <c r="J23" s="360">
        <f t="shared" si="9"/>
        <v>278.86</v>
      </c>
      <c r="K23" s="360">
        <f t="shared" si="14"/>
        <v>278.86</v>
      </c>
      <c r="L23" s="360">
        <f t="shared" si="10"/>
        <v>172.84</v>
      </c>
      <c r="M23" s="360">
        <f t="shared" si="15"/>
        <v>172.84</v>
      </c>
      <c r="N23" s="360">
        <f t="shared" si="6"/>
        <v>633</v>
      </c>
      <c r="O23" s="419">
        <f t="shared" si="6"/>
        <v>0.66190000000000004</v>
      </c>
      <c r="P23" s="360">
        <f t="shared" si="6"/>
        <v>2000</v>
      </c>
    </row>
    <row r="24" spans="1:16" ht="24.75" customHeight="1" outlineLevel="1" thickBot="1" x14ac:dyDescent="0.3">
      <c r="A24" s="333">
        <f t="shared" si="2"/>
        <v>2035</v>
      </c>
      <c r="B24" s="57">
        <f t="shared" si="7"/>
        <v>22.987390000000001</v>
      </c>
      <c r="C24" s="57">
        <f t="shared" si="11"/>
        <v>26.677009999999999</v>
      </c>
      <c r="D24" s="49">
        <f t="shared" si="0"/>
        <v>0.22986999999999999</v>
      </c>
      <c r="E24" s="49">
        <f t="shared" si="1"/>
        <v>0.26677000000000001</v>
      </c>
      <c r="F24" s="360">
        <f t="shared" si="12"/>
        <v>15.9</v>
      </c>
      <c r="G24" s="360">
        <f t="shared" si="13"/>
        <v>15.9</v>
      </c>
      <c r="H24" s="360">
        <f t="shared" si="8"/>
        <v>18.190000000000001</v>
      </c>
      <c r="I24" s="360">
        <f t="shared" si="13"/>
        <v>18.190000000000001</v>
      </c>
      <c r="J24" s="360">
        <f t="shared" si="9"/>
        <v>278.86</v>
      </c>
      <c r="K24" s="360">
        <f t="shared" si="14"/>
        <v>278.86</v>
      </c>
      <c r="L24" s="360">
        <f t="shared" si="10"/>
        <v>172.84</v>
      </c>
      <c r="M24" s="360">
        <f t="shared" si="15"/>
        <v>172.84</v>
      </c>
      <c r="N24" s="360">
        <f t="shared" si="6"/>
        <v>633</v>
      </c>
      <c r="O24" s="419">
        <f t="shared" si="6"/>
        <v>0.66190000000000004</v>
      </c>
      <c r="P24" s="360">
        <f t="shared" si="6"/>
        <v>2000</v>
      </c>
    </row>
    <row r="25" spans="1:16" ht="24.75" customHeight="1" outlineLevel="1" thickBot="1" x14ac:dyDescent="0.3">
      <c r="A25" s="333">
        <f t="shared" si="2"/>
        <v>2036</v>
      </c>
      <c r="B25" s="57">
        <f t="shared" si="7"/>
        <v>26.677009999999999</v>
      </c>
      <c r="C25" s="57">
        <f t="shared" si="11"/>
        <v>30.477319999999999</v>
      </c>
      <c r="D25" s="49">
        <f t="shared" si="0"/>
        <v>0.26677000000000001</v>
      </c>
      <c r="E25" s="49">
        <f t="shared" si="1"/>
        <v>0.30476999999999999</v>
      </c>
      <c r="F25" s="360">
        <f t="shared" si="12"/>
        <v>15.9</v>
      </c>
      <c r="G25" s="360">
        <f t="shared" si="13"/>
        <v>15.9</v>
      </c>
      <c r="H25" s="360">
        <f t="shared" si="8"/>
        <v>18.190000000000001</v>
      </c>
      <c r="I25" s="360">
        <f t="shared" si="13"/>
        <v>18.190000000000001</v>
      </c>
      <c r="J25" s="360">
        <f t="shared" si="9"/>
        <v>278.86</v>
      </c>
      <c r="K25" s="360">
        <f t="shared" si="14"/>
        <v>278.86</v>
      </c>
      <c r="L25" s="360">
        <f t="shared" si="10"/>
        <v>172.84</v>
      </c>
      <c r="M25" s="360">
        <f t="shared" si="15"/>
        <v>172.84</v>
      </c>
      <c r="N25" s="360">
        <f t="shared" si="6"/>
        <v>633</v>
      </c>
      <c r="O25" s="419">
        <f t="shared" si="6"/>
        <v>0.66190000000000004</v>
      </c>
      <c r="P25" s="360">
        <f t="shared" si="6"/>
        <v>2000</v>
      </c>
    </row>
    <row r="26" spans="1:16" ht="24.75" customHeight="1" outlineLevel="1" thickBot="1" x14ac:dyDescent="0.3">
      <c r="A26" s="333">
        <f t="shared" si="2"/>
        <v>2037</v>
      </c>
      <c r="B26" s="57">
        <f t="shared" si="7"/>
        <v>30.477319999999999</v>
      </c>
      <c r="C26" s="57">
        <f t="shared" si="11"/>
        <v>34.391640000000002</v>
      </c>
      <c r="D26" s="49">
        <f t="shared" si="0"/>
        <v>0.30476999999999999</v>
      </c>
      <c r="E26" s="49">
        <f t="shared" si="1"/>
        <v>0.34392</v>
      </c>
      <c r="F26" s="360">
        <f t="shared" si="12"/>
        <v>15.9</v>
      </c>
      <c r="G26" s="360">
        <f t="shared" si="13"/>
        <v>15.9</v>
      </c>
      <c r="H26" s="360">
        <f t="shared" si="8"/>
        <v>18.190000000000001</v>
      </c>
      <c r="I26" s="360">
        <f t="shared" si="13"/>
        <v>18.190000000000001</v>
      </c>
      <c r="J26" s="360">
        <f t="shared" si="9"/>
        <v>278.86</v>
      </c>
      <c r="K26" s="360">
        <f t="shared" si="14"/>
        <v>278.86</v>
      </c>
      <c r="L26" s="360">
        <f t="shared" si="10"/>
        <v>172.84</v>
      </c>
      <c r="M26" s="360">
        <f t="shared" si="15"/>
        <v>172.84</v>
      </c>
      <c r="N26" s="360">
        <f t="shared" si="6"/>
        <v>633</v>
      </c>
      <c r="O26" s="419">
        <f t="shared" si="6"/>
        <v>0.66190000000000004</v>
      </c>
      <c r="P26" s="360">
        <f t="shared" si="6"/>
        <v>2000</v>
      </c>
    </row>
    <row r="27" spans="1:16" ht="24.75" customHeight="1" outlineLevel="1" thickBot="1" x14ac:dyDescent="0.3">
      <c r="A27" s="333">
        <f t="shared" si="2"/>
        <v>2038</v>
      </c>
      <c r="B27" s="57">
        <f t="shared" si="7"/>
        <v>34.391640000000002</v>
      </c>
      <c r="C27" s="57">
        <f t="shared" si="11"/>
        <v>38.423389999999998</v>
      </c>
      <c r="D27" s="49">
        <f t="shared" si="0"/>
        <v>0.34392</v>
      </c>
      <c r="E27" s="49">
        <f t="shared" si="1"/>
        <v>0.38423000000000002</v>
      </c>
      <c r="F27" s="360">
        <f t="shared" si="12"/>
        <v>15.9</v>
      </c>
      <c r="G27" s="360">
        <f t="shared" si="13"/>
        <v>15.9</v>
      </c>
      <c r="H27" s="360">
        <f t="shared" si="8"/>
        <v>18.190000000000001</v>
      </c>
      <c r="I27" s="360">
        <f t="shared" si="13"/>
        <v>18.190000000000001</v>
      </c>
      <c r="J27" s="360">
        <f t="shared" si="9"/>
        <v>278.86</v>
      </c>
      <c r="K27" s="360">
        <f t="shared" si="14"/>
        <v>278.86</v>
      </c>
      <c r="L27" s="360">
        <f t="shared" si="10"/>
        <v>172.84</v>
      </c>
      <c r="M27" s="360">
        <f t="shared" si="15"/>
        <v>172.84</v>
      </c>
      <c r="N27" s="360">
        <f t="shared" si="6"/>
        <v>633</v>
      </c>
      <c r="O27" s="419">
        <f t="shared" si="6"/>
        <v>0.66190000000000004</v>
      </c>
      <c r="P27" s="360">
        <f t="shared" si="6"/>
        <v>2000</v>
      </c>
    </row>
    <row r="28" spans="1:16" ht="24.75" customHeight="1" outlineLevel="1" thickBot="1" x14ac:dyDescent="0.3">
      <c r="A28" s="333">
        <f t="shared" si="2"/>
        <v>2039</v>
      </c>
      <c r="B28" s="57">
        <f t="shared" si="7"/>
        <v>38.423389999999998</v>
      </c>
      <c r="C28" s="57">
        <f t="shared" si="11"/>
        <v>42.576090000000001</v>
      </c>
      <c r="D28" s="49">
        <f t="shared" si="0"/>
        <v>0.38423000000000002</v>
      </c>
      <c r="E28" s="49">
        <f t="shared" si="1"/>
        <v>0.42576000000000003</v>
      </c>
      <c r="F28" s="360">
        <f t="shared" si="12"/>
        <v>15.9</v>
      </c>
      <c r="G28" s="360">
        <f t="shared" si="13"/>
        <v>15.9</v>
      </c>
      <c r="H28" s="360">
        <f t="shared" si="8"/>
        <v>18.190000000000001</v>
      </c>
      <c r="I28" s="360">
        <f t="shared" si="13"/>
        <v>18.190000000000001</v>
      </c>
      <c r="J28" s="360">
        <f t="shared" si="9"/>
        <v>278.86</v>
      </c>
      <c r="K28" s="360">
        <f t="shared" si="14"/>
        <v>278.86</v>
      </c>
      <c r="L28" s="360">
        <f t="shared" si="10"/>
        <v>172.84</v>
      </c>
      <c r="M28" s="360">
        <f t="shared" si="15"/>
        <v>172.84</v>
      </c>
      <c r="N28" s="360">
        <f t="shared" si="6"/>
        <v>633</v>
      </c>
      <c r="O28" s="419">
        <f t="shared" si="6"/>
        <v>0.66190000000000004</v>
      </c>
      <c r="P28" s="360">
        <f t="shared" si="6"/>
        <v>2000</v>
      </c>
    </row>
    <row r="29" spans="1:16" ht="24.75" customHeight="1" outlineLevel="1" thickBot="1" x14ac:dyDescent="0.3">
      <c r="A29" s="333">
        <f t="shared" si="2"/>
        <v>2040</v>
      </c>
      <c r="B29" s="57">
        <f t="shared" si="7"/>
        <v>42.576090000000001</v>
      </c>
      <c r="C29" s="57">
        <f t="shared" si="11"/>
        <v>46.853369999999998</v>
      </c>
      <c r="D29" s="49">
        <f t="shared" si="0"/>
        <v>0.42576000000000003</v>
      </c>
      <c r="E29" s="49">
        <f t="shared" si="1"/>
        <v>0.46853</v>
      </c>
      <c r="F29" s="360">
        <f t="shared" si="12"/>
        <v>15.9</v>
      </c>
      <c r="G29" s="360">
        <f t="shared" si="13"/>
        <v>15.9</v>
      </c>
      <c r="H29" s="360">
        <f t="shared" si="8"/>
        <v>18.190000000000001</v>
      </c>
      <c r="I29" s="360">
        <f t="shared" si="13"/>
        <v>18.190000000000001</v>
      </c>
      <c r="J29" s="360">
        <f t="shared" si="9"/>
        <v>278.86</v>
      </c>
      <c r="K29" s="360">
        <f t="shared" si="14"/>
        <v>278.86</v>
      </c>
      <c r="L29" s="360">
        <f t="shared" si="10"/>
        <v>172.84</v>
      </c>
      <c r="M29" s="360">
        <f t="shared" si="15"/>
        <v>172.84</v>
      </c>
      <c r="N29" s="360">
        <f t="shared" si="6"/>
        <v>633</v>
      </c>
      <c r="O29" s="419">
        <f t="shared" si="6"/>
        <v>0.66190000000000004</v>
      </c>
      <c r="P29" s="360">
        <f t="shared" si="6"/>
        <v>2000</v>
      </c>
    </row>
    <row r="30" spans="1:16" ht="24.75" customHeight="1" outlineLevel="1" thickBot="1" x14ac:dyDescent="0.3">
      <c r="A30" s="333">
        <f t="shared" si="2"/>
        <v>2041</v>
      </c>
      <c r="B30" s="57">
        <f t="shared" si="7"/>
        <v>46.853369999999998</v>
      </c>
      <c r="C30" s="57">
        <f t="shared" si="11"/>
        <v>51.258969999999998</v>
      </c>
      <c r="D30" s="49">
        <f t="shared" si="0"/>
        <v>0.46853</v>
      </c>
      <c r="E30" s="49">
        <f t="shared" si="1"/>
        <v>0.51258999999999999</v>
      </c>
      <c r="F30" s="360">
        <f t="shared" si="12"/>
        <v>15.9</v>
      </c>
      <c r="G30" s="360">
        <f t="shared" si="13"/>
        <v>15.9</v>
      </c>
      <c r="H30" s="360">
        <f t="shared" si="8"/>
        <v>18.190000000000001</v>
      </c>
      <c r="I30" s="360">
        <f t="shared" si="13"/>
        <v>18.190000000000001</v>
      </c>
      <c r="J30" s="360">
        <f t="shared" si="9"/>
        <v>278.86</v>
      </c>
      <c r="K30" s="360">
        <f t="shared" si="14"/>
        <v>278.86</v>
      </c>
      <c r="L30" s="360">
        <f t="shared" si="10"/>
        <v>172.84</v>
      </c>
      <c r="M30" s="360">
        <f t="shared" si="15"/>
        <v>172.84</v>
      </c>
      <c r="N30" s="360">
        <f t="shared" si="6"/>
        <v>633</v>
      </c>
      <c r="O30" s="419">
        <f t="shared" si="6"/>
        <v>0.66190000000000004</v>
      </c>
      <c r="P30" s="360">
        <f t="shared" si="6"/>
        <v>2000</v>
      </c>
    </row>
    <row r="31" spans="1:16" ht="24.75" customHeight="1" outlineLevel="1" thickBot="1" x14ac:dyDescent="0.3">
      <c r="A31" s="333">
        <f t="shared" si="2"/>
        <v>2042</v>
      </c>
      <c r="B31" s="57">
        <f t="shared" si="7"/>
        <v>51.258969999999998</v>
      </c>
      <c r="C31" s="57">
        <f t="shared" si="11"/>
        <v>55.79674</v>
      </c>
      <c r="D31" s="49">
        <f t="shared" si="0"/>
        <v>0.51258999999999999</v>
      </c>
      <c r="E31" s="49">
        <f t="shared" si="1"/>
        <v>0.55796999999999997</v>
      </c>
      <c r="F31" s="360">
        <f t="shared" si="12"/>
        <v>15.9</v>
      </c>
      <c r="G31" s="360">
        <f t="shared" si="13"/>
        <v>15.9</v>
      </c>
      <c r="H31" s="360">
        <f t="shared" si="8"/>
        <v>18.190000000000001</v>
      </c>
      <c r="I31" s="360">
        <f t="shared" si="13"/>
        <v>18.190000000000001</v>
      </c>
      <c r="J31" s="360">
        <f t="shared" si="9"/>
        <v>278.86</v>
      </c>
      <c r="K31" s="360">
        <f t="shared" si="14"/>
        <v>278.86</v>
      </c>
      <c r="L31" s="360">
        <f t="shared" si="10"/>
        <v>172.84</v>
      </c>
      <c r="M31" s="360">
        <f t="shared" si="15"/>
        <v>172.84</v>
      </c>
      <c r="N31" s="360">
        <f t="shared" si="6"/>
        <v>633</v>
      </c>
      <c r="O31" s="419">
        <f t="shared" si="6"/>
        <v>0.66190000000000004</v>
      </c>
      <c r="P31" s="360">
        <f t="shared" si="6"/>
        <v>2000</v>
      </c>
    </row>
    <row r="32" spans="1:16" ht="24.75" customHeight="1" outlineLevel="1" thickBot="1" x14ac:dyDescent="0.3">
      <c r="A32" s="333">
        <f t="shared" si="2"/>
        <v>2043</v>
      </c>
      <c r="B32" s="57">
        <f t="shared" si="7"/>
        <v>55.79674</v>
      </c>
      <c r="C32" s="57">
        <f t="shared" si="11"/>
        <v>60.470640000000003</v>
      </c>
      <c r="D32" s="49">
        <f t="shared" si="0"/>
        <v>0.55796999999999997</v>
      </c>
      <c r="E32" s="49">
        <f t="shared" si="1"/>
        <v>0.60470999999999997</v>
      </c>
      <c r="F32" s="360">
        <f t="shared" si="12"/>
        <v>15.9</v>
      </c>
      <c r="G32" s="360">
        <f t="shared" si="13"/>
        <v>15.9</v>
      </c>
      <c r="H32" s="360">
        <f t="shared" si="8"/>
        <v>18.190000000000001</v>
      </c>
      <c r="I32" s="360">
        <f t="shared" si="13"/>
        <v>18.190000000000001</v>
      </c>
      <c r="J32" s="360">
        <f t="shared" si="9"/>
        <v>278.86</v>
      </c>
      <c r="K32" s="360">
        <f t="shared" si="14"/>
        <v>278.86</v>
      </c>
      <c r="L32" s="360">
        <f t="shared" si="10"/>
        <v>172.84</v>
      </c>
      <c r="M32" s="360">
        <f t="shared" si="15"/>
        <v>172.84</v>
      </c>
      <c r="N32" s="360">
        <f t="shared" si="6"/>
        <v>633</v>
      </c>
      <c r="O32" s="419">
        <f t="shared" si="6"/>
        <v>0.66190000000000004</v>
      </c>
      <c r="P32" s="360">
        <f t="shared" si="6"/>
        <v>2000</v>
      </c>
    </row>
    <row r="33" spans="1:16" ht="24.75" customHeight="1" outlineLevel="1" thickBot="1" x14ac:dyDescent="0.3">
      <c r="A33" s="333">
        <f t="shared" si="2"/>
        <v>2044</v>
      </c>
      <c r="B33" s="57">
        <f t="shared" si="7"/>
        <v>60.470640000000003</v>
      </c>
      <c r="C33" s="57">
        <f t="shared" si="11"/>
        <v>65.284760000000006</v>
      </c>
      <c r="D33" s="49">
        <f t="shared" si="0"/>
        <v>0.60470999999999997</v>
      </c>
      <c r="E33" s="49">
        <f t="shared" si="1"/>
        <v>0.65285000000000004</v>
      </c>
      <c r="F33" s="360">
        <f t="shared" si="12"/>
        <v>15.9</v>
      </c>
      <c r="G33" s="360">
        <f t="shared" si="13"/>
        <v>15.9</v>
      </c>
      <c r="H33" s="360">
        <f t="shared" si="8"/>
        <v>18.190000000000001</v>
      </c>
      <c r="I33" s="360">
        <f t="shared" si="13"/>
        <v>18.190000000000001</v>
      </c>
      <c r="J33" s="360">
        <f t="shared" si="9"/>
        <v>278.86</v>
      </c>
      <c r="K33" s="360">
        <f t="shared" si="14"/>
        <v>278.86</v>
      </c>
      <c r="L33" s="360">
        <f t="shared" si="10"/>
        <v>172.84</v>
      </c>
      <c r="M33" s="360">
        <f t="shared" si="15"/>
        <v>172.84</v>
      </c>
      <c r="N33" s="360">
        <f t="shared" si="6"/>
        <v>633</v>
      </c>
      <c r="O33" s="419">
        <f t="shared" si="6"/>
        <v>0.66190000000000004</v>
      </c>
      <c r="P33" s="360">
        <f t="shared" si="6"/>
        <v>2000</v>
      </c>
    </row>
    <row r="34" spans="1:16" ht="24.75" customHeight="1" outlineLevel="1" thickBot="1" x14ac:dyDescent="0.3">
      <c r="A34" s="333">
        <f t="shared" si="2"/>
        <v>2045</v>
      </c>
      <c r="B34" s="57">
        <f t="shared" si="7"/>
        <v>65.284760000000006</v>
      </c>
      <c r="C34" s="57">
        <f t="shared" si="11"/>
        <v>70.243300000000005</v>
      </c>
      <c r="D34" s="49">
        <f t="shared" si="0"/>
        <v>0.65285000000000004</v>
      </c>
      <c r="E34" s="49">
        <f t="shared" si="1"/>
        <v>0.70243</v>
      </c>
      <c r="F34" s="360">
        <f t="shared" si="12"/>
        <v>15.9</v>
      </c>
      <c r="G34" s="360">
        <f t="shared" si="13"/>
        <v>15.9</v>
      </c>
      <c r="H34" s="360">
        <f t="shared" si="8"/>
        <v>18.190000000000001</v>
      </c>
      <c r="I34" s="360">
        <f t="shared" si="13"/>
        <v>18.190000000000001</v>
      </c>
      <c r="J34" s="360">
        <f t="shared" si="9"/>
        <v>278.86</v>
      </c>
      <c r="K34" s="360">
        <f t="shared" si="14"/>
        <v>278.86</v>
      </c>
      <c r="L34" s="360">
        <f t="shared" si="10"/>
        <v>172.84</v>
      </c>
      <c r="M34" s="360">
        <f t="shared" si="15"/>
        <v>172.84</v>
      </c>
      <c r="N34" s="360">
        <f t="shared" si="6"/>
        <v>633</v>
      </c>
      <c r="O34" s="419">
        <f t="shared" si="6"/>
        <v>0.66190000000000004</v>
      </c>
      <c r="P34" s="360">
        <f t="shared" si="6"/>
        <v>2000</v>
      </c>
    </row>
    <row r="35" spans="1:16" ht="24.75" customHeight="1" outlineLevel="1" thickBot="1" x14ac:dyDescent="0.3">
      <c r="A35" s="333">
        <f t="shared" si="2"/>
        <v>2046</v>
      </c>
      <c r="B35" s="57">
        <f t="shared" si="7"/>
        <v>70.243300000000005</v>
      </c>
      <c r="C35" s="57">
        <f t="shared" si="11"/>
        <v>75.3506</v>
      </c>
      <c r="D35" s="49">
        <f t="shared" si="0"/>
        <v>0.70243</v>
      </c>
      <c r="E35" s="49">
        <f t="shared" si="1"/>
        <v>0.75351000000000001</v>
      </c>
      <c r="F35" s="360">
        <f t="shared" si="12"/>
        <v>15.9</v>
      </c>
      <c r="G35" s="360">
        <f t="shared" si="13"/>
        <v>15.9</v>
      </c>
      <c r="H35" s="360">
        <f t="shared" si="8"/>
        <v>18.190000000000001</v>
      </c>
      <c r="I35" s="360">
        <f t="shared" si="13"/>
        <v>18.190000000000001</v>
      </c>
      <c r="J35" s="360">
        <f t="shared" si="9"/>
        <v>278.86</v>
      </c>
      <c r="K35" s="360">
        <f t="shared" si="14"/>
        <v>278.86</v>
      </c>
      <c r="L35" s="360">
        <f t="shared" si="10"/>
        <v>172.84</v>
      </c>
      <c r="M35" s="360">
        <f t="shared" si="15"/>
        <v>172.84</v>
      </c>
      <c r="N35" s="360">
        <f t="shared" si="6"/>
        <v>633</v>
      </c>
      <c r="O35" s="419">
        <f t="shared" si="6"/>
        <v>0.66190000000000004</v>
      </c>
      <c r="P35" s="360">
        <f t="shared" si="6"/>
        <v>2000</v>
      </c>
    </row>
    <row r="36" spans="1:16" ht="24.75" customHeight="1" outlineLevel="1" thickBot="1" x14ac:dyDescent="0.3">
      <c r="A36" s="333">
        <f t="shared" si="2"/>
        <v>2047</v>
      </c>
      <c r="B36" s="57">
        <f t="shared" si="7"/>
        <v>75.3506</v>
      </c>
      <c r="C36" s="57">
        <f t="shared" si="11"/>
        <v>80.61112</v>
      </c>
      <c r="D36" s="49">
        <f t="shared" si="0"/>
        <v>0.75351000000000001</v>
      </c>
      <c r="E36" s="49">
        <f t="shared" si="1"/>
        <v>0.80610999999999999</v>
      </c>
      <c r="F36" s="360">
        <f t="shared" si="12"/>
        <v>15.9</v>
      </c>
      <c r="G36" s="360">
        <f t="shared" si="13"/>
        <v>15.9</v>
      </c>
      <c r="H36" s="360">
        <f t="shared" si="8"/>
        <v>18.190000000000001</v>
      </c>
      <c r="I36" s="360">
        <f t="shared" si="13"/>
        <v>18.190000000000001</v>
      </c>
      <c r="J36" s="360">
        <f t="shared" si="9"/>
        <v>278.86</v>
      </c>
      <c r="K36" s="360">
        <f t="shared" si="14"/>
        <v>278.86</v>
      </c>
      <c r="L36" s="360">
        <f t="shared" si="10"/>
        <v>172.84</v>
      </c>
      <c r="M36" s="360">
        <f t="shared" si="15"/>
        <v>172.84</v>
      </c>
      <c r="N36" s="360">
        <f t="shared" si="6"/>
        <v>633</v>
      </c>
      <c r="O36" s="419">
        <f t="shared" si="6"/>
        <v>0.66190000000000004</v>
      </c>
      <c r="P36" s="360">
        <f t="shared" si="6"/>
        <v>2000</v>
      </c>
    </row>
    <row r="37" spans="1:16" ht="24.75" customHeight="1" outlineLevel="1" thickBot="1" x14ac:dyDescent="0.3">
      <c r="A37" s="333">
        <f t="shared" si="2"/>
        <v>2048</v>
      </c>
      <c r="B37" s="57">
        <f t="shared" si="7"/>
        <v>80.61112</v>
      </c>
      <c r="C37" s="57">
        <f t="shared" si="11"/>
        <v>86.029449999999997</v>
      </c>
      <c r="D37" s="49">
        <f t="shared" si="0"/>
        <v>0.80610999999999999</v>
      </c>
      <c r="E37" s="49">
        <f t="shared" si="1"/>
        <v>0.86029</v>
      </c>
      <c r="F37" s="360">
        <f t="shared" si="12"/>
        <v>15.9</v>
      </c>
      <c r="G37" s="360">
        <f t="shared" si="13"/>
        <v>15.9</v>
      </c>
      <c r="H37" s="360">
        <f t="shared" si="8"/>
        <v>18.190000000000001</v>
      </c>
      <c r="I37" s="360">
        <f t="shared" si="13"/>
        <v>18.190000000000001</v>
      </c>
      <c r="J37" s="360">
        <f t="shared" si="9"/>
        <v>278.86</v>
      </c>
      <c r="K37" s="360">
        <f t="shared" si="14"/>
        <v>278.86</v>
      </c>
      <c r="L37" s="360">
        <f t="shared" si="10"/>
        <v>172.84</v>
      </c>
      <c r="M37" s="360">
        <f t="shared" si="15"/>
        <v>172.84</v>
      </c>
      <c r="N37" s="360">
        <f t="shared" si="6"/>
        <v>633</v>
      </c>
      <c r="O37" s="419">
        <f t="shared" si="6"/>
        <v>0.66190000000000004</v>
      </c>
      <c r="P37" s="360">
        <f t="shared" si="6"/>
        <v>2000</v>
      </c>
    </row>
    <row r="38" spans="1:16" ht="24.75" customHeight="1" outlineLevel="1" thickBot="1" x14ac:dyDescent="0.3">
      <c r="A38" s="333">
        <f t="shared" si="2"/>
        <v>2049</v>
      </c>
      <c r="B38" s="57">
        <f t="shared" si="7"/>
        <v>86.029449999999997</v>
      </c>
      <c r="C38" s="57">
        <f t="shared" si="11"/>
        <v>91.610330000000005</v>
      </c>
      <c r="D38" s="49">
        <f t="shared" si="0"/>
        <v>0.86029</v>
      </c>
      <c r="E38" s="49">
        <f t="shared" si="1"/>
        <v>0.91610000000000003</v>
      </c>
      <c r="F38" s="360">
        <f t="shared" si="12"/>
        <v>15.9</v>
      </c>
      <c r="G38" s="360">
        <f t="shared" si="13"/>
        <v>15.9</v>
      </c>
      <c r="H38" s="360">
        <f t="shared" si="8"/>
        <v>18.190000000000001</v>
      </c>
      <c r="I38" s="360">
        <f t="shared" si="13"/>
        <v>18.190000000000001</v>
      </c>
      <c r="J38" s="360">
        <f t="shared" si="9"/>
        <v>278.86</v>
      </c>
      <c r="K38" s="360">
        <f t="shared" si="14"/>
        <v>278.86</v>
      </c>
      <c r="L38" s="360">
        <f t="shared" si="10"/>
        <v>172.84</v>
      </c>
      <c r="M38" s="360">
        <f t="shared" si="15"/>
        <v>172.84</v>
      </c>
      <c r="N38" s="360">
        <f t="shared" si="6"/>
        <v>633</v>
      </c>
      <c r="O38" s="419">
        <f t="shared" si="6"/>
        <v>0.66190000000000004</v>
      </c>
      <c r="P38" s="360">
        <f t="shared" si="6"/>
        <v>2000</v>
      </c>
    </row>
    <row r="39" spans="1:16" ht="24.75" customHeight="1" outlineLevel="1" thickBot="1" x14ac:dyDescent="0.3">
      <c r="A39" s="333">
        <f t="shared" si="2"/>
        <v>2050</v>
      </c>
      <c r="B39" s="57">
        <f t="shared" si="7"/>
        <v>91.610330000000005</v>
      </c>
      <c r="C39" s="57">
        <f t="shared" si="11"/>
        <v>97.358639999999994</v>
      </c>
      <c r="D39" s="49">
        <f t="shared" si="0"/>
        <v>0.91610000000000003</v>
      </c>
      <c r="E39" s="49">
        <f t="shared" si="1"/>
        <v>0.97358999999999996</v>
      </c>
      <c r="F39" s="360">
        <f t="shared" si="12"/>
        <v>15.9</v>
      </c>
      <c r="G39" s="360">
        <f t="shared" si="13"/>
        <v>15.9</v>
      </c>
      <c r="H39" s="360">
        <f t="shared" si="8"/>
        <v>18.190000000000001</v>
      </c>
      <c r="I39" s="360">
        <f t="shared" si="13"/>
        <v>18.190000000000001</v>
      </c>
      <c r="J39" s="360">
        <f t="shared" si="9"/>
        <v>278.86</v>
      </c>
      <c r="K39" s="360">
        <f t="shared" si="14"/>
        <v>278.86</v>
      </c>
      <c r="L39" s="360">
        <f t="shared" si="10"/>
        <v>172.84</v>
      </c>
      <c r="M39" s="360">
        <f t="shared" si="15"/>
        <v>172.84</v>
      </c>
      <c r="N39" s="360">
        <f t="shared" si="6"/>
        <v>633</v>
      </c>
      <c r="O39" s="419">
        <f t="shared" si="6"/>
        <v>0.66190000000000004</v>
      </c>
      <c r="P39" s="360">
        <f t="shared" si="6"/>
        <v>2000</v>
      </c>
    </row>
    <row r="40" spans="1:16" ht="24.75" customHeight="1" outlineLevel="1" thickBot="1" x14ac:dyDescent="0.3">
      <c r="A40" s="333">
        <f t="shared" si="2"/>
        <v>2051</v>
      </c>
      <c r="B40" s="57">
        <f t="shared" si="7"/>
        <v>97.358639999999994</v>
      </c>
      <c r="C40" s="57">
        <f t="shared" si="11"/>
        <v>103.2794</v>
      </c>
      <c r="D40" s="49">
        <f t="shared" si="0"/>
        <v>0.97358999999999996</v>
      </c>
      <c r="E40" s="49">
        <f t="shared" si="1"/>
        <v>1.0327900000000001</v>
      </c>
      <c r="F40" s="360">
        <f t="shared" si="12"/>
        <v>15.9</v>
      </c>
      <c r="G40" s="360">
        <f t="shared" si="13"/>
        <v>15.9</v>
      </c>
      <c r="H40" s="360">
        <f t="shared" si="8"/>
        <v>18.190000000000001</v>
      </c>
      <c r="I40" s="360">
        <f t="shared" si="13"/>
        <v>18.190000000000001</v>
      </c>
      <c r="J40" s="360">
        <f t="shared" si="9"/>
        <v>278.86</v>
      </c>
      <c r="K40" s="360">
        <f t="shared" si="14"/>
        <v>278.86</v>
      </c>
      <c r="L40" s="360">
        <f t="shared" si="10"/>
        <v>172.84</v>
      </c>
      <c r="M40" s="360">
        <f t="shared" si="15"/>
        <v>172.84</v>
      </c>
      <c r="N40" s="360">
        <f t="shared" si="6"/>
        <v>633</v>
      </c>
      <c r="O40" s="419">
        <f t="shared" si="6"/>
        <v>0.66190000000000004</v>
      </c>
      <c r="P40" s="360">
        <f t="shared" si="6"/>
        <v>2000</v>
      </c>
    </row>
    <row r="41" spans="1:16" ht="24.75" customHeight="1" outlineLevel="1" thickBot="1" x14ac:dyDescent="0.3">
      <c r="A41" s="333">
        <f t="shared" si="2"/>
        <v>2052</v>
      </c>
      <c r="B41" s="57">
        <f t="shared" si="7"/>
        <v>103.2794</v>
      </c>
      <c r="C41" s="57">
        <f t="shared" si="11"/>
        <v>109.37778</v>
      </c>
      <c r="D41" s="49">
        <f t="shared" si="0"/>
        <v>1.0327900000000001</v>
      </c>
      <c r="E41" s="49">
        <f t="shared" si="1"/>
        <v>1.09378</v>
      </c>
      <c r="F41" s="360">
        <f t="shared" si="12"/>
        <v>15.9</v>
      </c>
      <c r="G41" s="360">
        <f t="shared" si="13"/>
        <v>15.9</v>
      </c>
      <c r="H41" s="360">
        <f t="shared" si="8"/>
        <v>18.190000000000001</v>
      </c>
      <c r="I41" s="360">
        <f t="shared" si="13"/>
        <v>18.190000000000001</v>
      </c>
      <c r="J41" s="360">
        <f t="shared" si="9"/>
        <v>278.86</v>
      </c>
      <c r="K41" s="360">
        <f t="shared" si="14"/>
        <v>278.86</v>
      </c>
      <c r="L41" s="360">
        <f t="shared" si="10"/>
        <v>172.84</v>
      </c>
      <c r="M41" s="360">
        <f t="shared" si="15"/>
        <v>172.84</v>
      </c>
      <c r="N41" s="360">
        <f t="shared" si="6"/>
        <v>633</v>
      </c>
      <c r="O41" s="419">
        <f t="shared" si="6"/>
        <v>0.66190000000000004</v>
      </c>
      <c r="P41" s="360">
        <f t="shared" si="6"/>
        <v>2000</v>
      </c>
    </row>
    <row r="42" spans="1:16" ht="24.75" customHeight="1" outlineLevel="1" thickBot="1" x14ac:dyDescent="0.3">
      <c r="A42" s="333">
        <f t="shared" si="2"/>
        <v>2053</v>
      </c>
      <c r="B42" s="57">
        <f t="shared" si="7"/>
        <v>109.37778</v>
      </c>
      <c r="C42" s="57">
        <f t="shared" si="11"/>
        <v>115.65911</v>
      </c>
      <c r="D42" s="49">
        <f t="shared" si="0"/>
        <v>1.09378</v>
      </c>
      <c r="E42" s="49">
        <f t="shared" si="1"/>
        <v>1.15659</v>
      </c>
      <c r="F42" s="360">
        <f t="shared" si="12"/>
        <v>15.9</v>
      </c>
      <c r="G42" s="360">
        <f t="shared" si="13"/>
        <v>15.9</v>
      </c>
      <c r="H42" s="360">
        <f t="shared" si="8"/>
        <v>18.190000000000001</v>
      </c>
      <c r="I42" s="360">
        <f t="shared" si="13"/>
        <v>18.190000000000001</v>
      </c>
      <c r="J42" s="360">
        <f t="shared" si="9"/>
        <v>278.86</v>
      </c>
      <c r="K42" s="360">
        <f t="shared" si="14"/>
        <v>278.86</v>
      </c>
      <c r="L42" s="360">
        <f t="shared" si="10"/>
        <v>172.84</v>
      </c>
      <c r="M42" s="360">
        <f t="shared" si="15"/>
        <v>172.84</v>
      </c>
      <c r="N42" s="360">
        <f t="shared" si="6"/>
        <v>633</v>
      </c>
      <c r="O42" s="419">
        <f t="shared" si="6"/>
        <v>0.66190000000000004</v>
      </c>
      <c r="P42" s="360">
        <f t="shared" si="6"/>
        <v>2000</v>
      </c>
    </row>
    <row r="43" spans="1:16" ht="24.75" customHeight="1" outlineLevel="1" thickBot="1" x14ac:dyDescent="0.3">
      <c r="A43" s="333">
        <f t="shared" si="2"/>
        <v>2054</v>
      </c>
      <c r="B43" s="57">
        <f t="shared" si="7"/>
        <v>115.65911</v>
      </c>
      <c r="C43" s="57">
        <f t="shared" si="11"/>
        <v>122.12888</v>
      </c>
      <c r="D43" s="49">
        <f t="shared" si="0"/>
        <v>1.15659</v>
      </c>
      <c r="E43" s="49">
        <f t="shared" si="1"/>
        <v>1.22129</v>
      </c>
      <c r="F43" s="360">
        <f t="shared" si="12"/>
        <v>15.9</v>
      </c>
      <c r="G43" s="360">
        <f t="shared" si="13"/>
        <v>15.9</v>
      </c>
      <c r="H43" s="360">
        <f t="shared" si="8"/>
        <v>18.190000000000001</v>
      </c>
      <c r="I43" s="360">
        <f t="shared" si="13"/>
        <v>18.190000000000001</v>
      </c>
      <c r="J43" s="360">
        <f t="shared" si="9"/>
        <v>278.86</v>
      </c>
      <c r="K43" s="360">
        <f t="shared" si="14"/>
        <v>278.86</v>
      </c>
      <c r="L43" s="360">
        <f t="shared" si="10"/>
        <v>172.84</v>
      </c>
      <c r="M43" s="360">
        <f t="shared" si="15"/>
        <v>172.84</v>
      </c>
      <c r="N43" s="360">
        <f t="shared" si="6"/>
        <v>633</v>
      </c>
      <c r="O43" s="419">
        <f t="shared" si="6"/>
        <v>0.66190000000000004</v>
      </c>
      <c r="P43" s="360">
        <f t="shared" si="6"/>
        <v>2000</v>
      </c>
    </row>
    <row r="44" spans="1:16" ht="24.75" customHeight="1" outlineLevel="1" thickBot="1" x14ac:dyDescent="0.3">
      <c r="A44" s="333">
        <f t="shared" si="2"/>
        <v>2055</v>
      </c>
      <c r="B44" s="57">
        <f t="shared" si="7"/>
        <v>122.12888</v>
      </c>
      <c r="C44" s="57">
        <f t="shared" si="11"/>
        <v>128.79275000000001</v>
      </c>
      <c r="D44" s="49">
        <f t="shared" si="0"/>
        <v>1.22129</v>
      </c>
      <c r="E44" s="49">
        <f t="shared" si="1"/>
        <v>1.28793</v>
      </c>
      <c r="F44" s="360">
        <f t="shared" si="12"/>
        <v>15.9</v>
      </c>
      <c r="G44" s="360">
        <f t="shared" si="13"/>
        <v>15.9</v>
      </c>
      <c r="H44" s="360">
        <f t="shared" si="8"/>
        <v>18.190000000000001</v>
      </c>
      <c r="I44" s="360">
        <f t="shared" si="13"/>
        <v>18.190000000000001</v>
      </c>
      <c r="J44" s="360">
        <f t="shared" si="9"/>
        <v>278.86</v>
      </c>
      <c r="K44" s="360">
        <f t="shared" si="14"/>
        <v>278.86</v>
      </c>
      <c r="L44" s="360">
        <f t="shared" si="10"/>
        <v>172.84</v>
      </c>
      <c r="M44" s="360">
        <f t="shared" si="15"/>
        <v>172.84</v>
      </c>
      <c r="N44" s="360">
        <f t="shared" si="6"/>
        <v>633</v>
      </c>
      <c r="O44" s="419">
        <f t="shared" si="6"/>
        <v>0.66190000000000004</v>
      </c>
      <c r="P44" s="360">
        <f t="shared" si="6"/>
        <v>2000</v>
      </c>
    </row>
    <row r="45" spans="1:16" ht="24.75" customHeight="1" outlineLevel="1" thickBot="1" x14ac:dyDescent="0.3">
      <c r="A45" s="333">
        <f t="shared" si="2"/>
        <v>2056</v>
      </c>
      <c r="B45" s="57">
        <f t="shared" si="7"/>
        <v>128.79275000000001</v>
      </c>
      <c r="C45" s="57">
        <f t="shared" si="11"/>
        <v>135.65653</v>
      </c>
      <c r="D45" s="49">
        <f t="shared" si="0"/>
        <v>1.28793</v>
      </c>
      <c r="E45" s="49">
        <f t="shared" si="1"/>
        <v>1.3565700000000001</v>
      </c>
      <c r="F45" s="360">
        <f t="shared" si="12"/>
        <v>15.9</v>
      </c>
      <c r="G45" s="360">
        <f t="shared" si="13"/>
        <v>15.9</v>
      </c>
      <c r="H45" s="360">
        <f t="shared" si="8"/>
        <v>18.190000000000001</v>
      </c>
      <c r="I45" s="360">
        <f t="shared" si="13"/>
        <v>18.190000000000001</v>
      </c>
      <c r="J45" s="360">
        <f t="shared" si="9"/>
        <v>278.86</v>
      </c>
      <c r="K45" s="360">
        <f t="shared" si="14"/>
        <v>278.86</v>
      </c>
      <c r="L45" s="360">
        <f t="shared" si="10"/>
        <v>172.84</v>
      </c>
      <c r="M45" s="360">
        <f t="shared" si="15"/>
        <v>172.84</v>
      </c>
      <c r="N45" s="360">
        <f t="shared" si="6"/>
        <v>633</v>
      </c>
      <c r="O45" s="419">
        <f t="shared" si="6"/>
        <v>0.66190000000000004</v>
      </c>
      <c r="P45" s="360">
        <f t="shared" si="6"/>
        <v>2000</v>
      </c>
    </row>
    <row r="46" spans="1:16" ht="24.75" customHeight="1" outlineLevel="1" thickBot="1" x14ac:dyDescent="0.3">
      <c r="A46" s="333">
        <f t="shared" si="2"/>
        <v>2057</v>
      </c>
      <c r="B46" s="57">
        <f t="shared" si="7"/>
        <v>135.65653</v>
      </c>
      <c r="C46" s="57">
        <f t="shared" si="11"/>
        <v>142.72622999999999</v>
      </c>
      <c r="D46" s="49">
        <f t="shared" si="0"/>
        <v>1.3565700000000001</v>
      </c>
      <c r="E46" s="49">
        <f t="shared" si="1"/>
        <v>1.42726</v>
      </c>
      <c r="F46" s="360">
        <f t="shared" si="12"/>
        <v>15.9</v>
      </c>
      <c r="G46" s="360">
        <f t="shared" si="13"/>
        <v>15.9</v>
      </c>
      <c r="H46" s="360">
        <f t="shared" si="8"/>
        <v>18.190000000000001</v>
      </c>
      <c r="I46" s="360">
        <f t="shared" si="13"/>
        <v>18.190000000000001</v>
      </c>
      <c r="J46" s="360">
        <f t="shared" si="9"/>
        <v>278.86</v>
      </c>
      <c r="K46" s="360">
        <f t="shared" si="14"/>
        <v>278.86</v>
      </c>
      <c r="L46" s="360">
        <f t="shared" si="10"/>
        <v>172.84</v>
      </c>
      <c r="M46" s="360">
        <f t="shared" si="15"/>
        <v>172.84</v>
      </c>
      <c r="N46" s="360">
        <f t="shared" si="6"/>
        <v>633</v>
      </c>
      <c r="O46" s="419">
        <f t="shared" si="6"/>
        <v>0.66190000000000004</v>
      </c>
      <c r="P46" s="360">
        <f t="shared" si="6"/>
        <v>2000</v>
      </c>
    </row>
    <row r="47" spans="1:16" ht="24.75" customHeight="1" outlineLevel="1" thickBot="1" x14ac:dyDescent="0.3">
      <c r="A47" s="333">
        <f t="shared" si="2"/>
        <v>2058</v>
      </c>
      <c r="B47" s="57">
        <f t="shared" si="7"/>
        <v>142.72622999999999</v>
      </c>
      <c r="C47" s="57">
        <f t="shared" si="11"/>
        <v>150.00801999999999</v>
      </c>
      <c r="D47" s="49">
        <f t="shared" si="0"/>
        <v>1.42726</v>
      </c>
      <c r="E47" s="49">
        <f t="shared" si="1"/>
        <v>1.5000800000000001</v>
      </c>
      <c r="F47" s="360">
        <f t="shared" si="12"/>
        <v>15.9</v>
      </c>
      <c r="G47" s="360">
        <f t="shared" si="13"/>
        <v>15.9</v>
      </c>
      <c r="H47" s="360">
        <f t="shared" si="8"/>
        <v>18.190000000000001</v>
      </c>
      <c r="I47" s="360">
        <f t="shared" si="13"/>
        <v>18.190000000000001</v>
      </c>
      <c r="J47" s="360">
        <f t="shared" si="9"/>
        <v>278.86</v>
      </c>
      <c r="K47" s="360">
        <f t="shared" si="14"/>
        <v>278.86</v>
      </c>
      <c r="L47" s="360">
        <f t="shared" si="10"/>
        <v>172.84</v>
      </c>
      <c r="M47" s="360">
        <f t="shared" si="15"/>
        <v>172.84</v>
      </c>
      <c r="N47" s="360">
        <f t="shared" si="6"/>
        <v>633</v>
      </c>
      <c r="O47" s="419">
        <f t="shared" si="6"/>
        <v>0.66190000000000004</v>
      </c>
      <c r="P47" s="360">
        <f t="shared" si="6"/>
        <v>2000</v>
      </c>
    </row>
    <row r="48" spans="1:16" ht="24.75" customHeight="1" outlineLevel="1" thickBot="1" x14ac:dyDescent="0.3">
      <c r="A48" s="333">
        <f t="shared" si="2"/>
        <v>2059</v>
      </c>
      <c r="B48" s="57">
        <f t="shared" si="7"/>
        <v>150.00801999999999</v>
      </c>
      <c r="C48" s="57">
        <f t="shared" si="11"/>
        <v>157.50826000000001</v>
      </c>
      <c r="D48" s="49">
        <f t="shared" si="0"/>
        <v>1.5000800000000001</v>
      </c>
      <c r="E48" s="49">
        <f t="shared" si="1"/>
        <v>1.57508</v>
      </c>
      <c r="F48" s="360">
        <f t="shared" si="12"/>
        <v>15.9</v>
      </c>
      <c r="G48" s="360">
        <f t="shared" si="13"/>
        <v>15.9</v>
      </c>
      <c r="H48" s="360">
        <f t="shared" si="8"/>
        <v>18.190000000000001</v>
      </c>
      <c r="I48" s="360">
        <f t="shared" si="13"/>
        <v>18.190000000000001</v>
      </c>
      <c r="J48" s="360">
        <f t="shared" si="9"/>
        <v>278.86</v>
      </c>
      <c r="K48" s="360">
        <f t="shared" si="14"/>
        <v>278.86</v>
      </c>
      <c r="L48" s="360">
        <f t="shared" si="10"/>
        <v>172.84</v>
      </c>
      <c r="M48" s="360">
        <f t="shared" si="15"/>
        <v>172.84</v>
      </c>
      <c r="N48" s="360">
        <f t="shared" si="6"/>
        <v>633</v>
      </c>
      <c r="O48" s="419">
        <f t="shared" si="6"/>
        <v>0.66190000000000004</v>
      </c>
      <c r="P48" s="360">
        <f t="shared" si="6"/>
        <v>2000</v>
      </c>
    </row>
    <row r="49" spans="1:16" ht="24.75" customHeight="1" outlineLevel="1" thickBot="1" x14ac:dyDescent="0.3">
      <c r="A49" s="333">
        <f t="shared" si="2"/>
        <v>2060</v>
      </c>
      <c r="B49" s="57">
        <f t="shared" si="7"/>
        <v>157.50826000000001</v>
      </c>
      <c r="C49" s="57">
        <f t="shared" si="11"/>
        <v>165.23351</v>
      </c>
      <c r="D49" s="49">
        <f t="shared" si="0"/>
        <v>1.57508</v>
      </c>
      <c r="E49" s="49">
        <f t="shared" si="1"/>
        <v>1.6523399999999999</v>
      </c>
      <c r="F49" s="360">
        <f t="shared" si="12"/>
        <v>15.9</v>
      </c>
      <c r="G49" s="360">
        <f t="shared" si="13"/>
        <v>15.9</v>
      </c>
      <c r="H49" s="360">
        <f t="shared" si="8"/>
        <v>18.190000000000001</v>
      </c>
      <c r="I49" s="360">
        <f t="shared" si="13"/>
        <v>18.190000000000001</v>
      </c>
      <c r="J49" s="360">
        <f t="shared" si="9"/>
        <v>278.86</v>
      </c>
      <c r="K49" s="360">
        <f t="shared" si="14"/>
        <v>278.86</v>
      </c>
      <c r="L49" s="360">
        <f t="shared" si="10"/>
        <v>172.84</v>
      </c>
      <c r="M49" s="360">
        <f t="shared" si="15"/>
        <v>172.84</v>
      </c>
      <c r="N49" s="360">
        <f t="shared" si="6"/>
        <v>633</v>
      </c>
      <c r="O49" s="419">
        <f t="shared" si="6"/>
        <v>0.66190000000000004</v>
      </c>
      <c r="P49" s="360">
        <f t="shared" si="6"/>
        <v>2000</v>
      </c>
    </row>
    <row r="50" spans="1:16" ht="24.75" customHeight="1" outlineLevel="1" thickBot="1" x14ac:dyDescent="0.3">
      <c r="A50" s="333">
        <f t="shared" si="2"/>
        <v>2061</v>
      </c>
      <c r="B50" s="57">
        <f t="shared" si="7"/>
        <v>165.23351</v>
      </c>
      <c r="C50" s="57">
        <f t="shared" si="11"/>
        <v>173.19051999999999</v>
      </c>
      <c r="D50" s="49">
        <f t="shared" si="0"/>
        <v>1.6523399999999999</v>
      </c>
      <c r="E50" s="49">
        <f t="shared" si="1"/>
        <v>1.7319100000000001</v>
      </c>
      <c r="F50" s="360">
        <f t="shared" si="12"/>
        <v>15.9</v>
      </c>
      <c r="G50" s="360">
        <f t="shared" si="13"/>
        <v>15.9</v>
      </c>
      <c r="H50" s="360">
        <f t="shared" si="8"/>
        <v>18.190000000000001</v>
      </c>
      <c r="I50" s="360">
        <f t="shared" si="13"/>
        <v>18.190000000000001</v>
      </c>
      <c r="J50" s="360">
        <f t="shared" si="9"/>
        <v>278.86</v>
      </c>
      <c r="K50" s="360">
        <f t="shared" si="14"/>
        <v>278.86</v>
      </c>
      <c r="L50" s="360">
        <f t="shared" si="10"/>
        <v>172.84</v>
      </c>
      <c r="M50" s="360">
        <f t="shared" si="15"/>
        <v>172.84</v>
      </c>
      <c r="N50" s="360">
        <f t="shared" si="6"/>
        <v>633</v>
      </c>
      <c r="O50" s="419">
        <f t="shared" si="6"/>
        <v>0.66190000000000004</v>
      </c>
      <c r="P50" s="360">
        <f t="shared" si="6"/>
        <v>2000</v>
      </c>
    </row>
    <row r="51" spans="1:16" ht="24.75" customHeight="1" outlineLevel="1" thickBot="1" x14ac:dyDescent="0.3">
      <c r="A51" s="333">
        <f t="shared" si="2"/>
        <v>2062</v>
      </c>
      <c r="B51" s="57">
        <f t="shared" si="7"/>
        <v>173.19051999999999</v>
      </c>
      <c r="C51" s="57">
        <f t="shared" si="11"/>
        <v>181.38623999999999</v>
      </c>
      <c r="D51" s="49">
        <f t="shared" si="0"/>
        <v>1.7319100000000001</v>
      </c>
      <c r="E51" s="49">
        <f t="shared" si="1"/>
        <v>1.81386</v>
      </c>
      <c r="F51" s="360">
        <f t="shared" si="12"/>
        <v>15.9</v>
      </c>
      <c r="G51" s="360">
        <f t="shared" si="13"/>
        <v>15.9</v>
      </c>
      <c r="H51" s="360">
        <f t="shared" si="8"/>
        <v>18.190000000000001</v>
      </c>
      <c r="I51" s="360">
        <f t="shared" si="13"/>
        <v>18.190000000000001</v>
      </c>
      <c r="J51" s="360">
        <f t="shared" si="9"/>
        <v>278.86</v>
      </c>
      <c r="K51" s="360">
        <f t="shared" si="14"/>
        <v>278.86</v>
      </c>
      <c r="L51" s="360">
        <f t="shared" si="10"/>
        <v>172.84</v>
      </c>
      <c r="M51" s="360">
        <f t="shared" si="15"/>
        <v>172.84</v>
      </c>
      <c r="N51" s="360">
        <f t="shared" si="6"/>
        <v>633</v>
      </c>
      <c r="O51" s="419">
        <f t="shared" si="6"/>
        <v>0.66190000000000004</v>
      </c>
      <c r="P51" s="360">
        <f t="shared" si="6"/>
        <v>2000</v>
      </c>
    </row>
    <row r="52" spans="1:16" ht="24.75" customHeight="1" outlineLevel="1" thickBot="1" x14ac:dyDescent="0.3">
      <c r="A52" s="333">
        <f t="shared" si="2"/>
        <v>2063</v>
      </c>
      <c r="B52" s="57">
        <f t="shared" si="7"/>
        <v>181.38623999999999</v>
      </c>
      <c r="C52" s="57">
        <f t="shared" si="11"/>
        <v>189.82783000000001</v>
      </c>
      <c r="D52" s="49">
        <f t="shared" si="0"/>
        <v>1.81386</v>
      </c>
      <c r="E52" s="49">
        <f t="shared" si="1"/>
        <v>1.89828</v>
      </c>
      <c r="F52" s="360">
        <f t="shared" si="12"/>
        <v>15.9</v>
      </c>
      <c r="G52" s="360">
        <f t="shared" si="13"/>
        <v>15.9</v>
      </c>
      <c r="H52" s="360">
        <f t="shared" si="8"/>
        <v>18.190000000000001</v>
      </c>
      <c r="I52" s="360">
        <f t="shared" si="13"/>
        <v>18.190000000000001</v>
      </c>
      <c r="J52" s="360">
        <f t="shared" si="9"/>
        <v>278.86</v>
      </c>
      <c r="K52" s="360">
        <f t="shared" si="14"/>
        <v>278.86</v>
      </c>
      <c r="L52" s="360">
        <f t="shared" si="10"/>
        <v>172.84</v>
      </c>
      <c r="M52" s="360">
        <f t="shared" si="15"/>
        <v>172.84</v>
      </c>
      <c r="N52" s="360">
        <f t="shared" si="6"/>
        <v>633</v>
      </c>
      <c r="O52" s="419">
        <f t="shared" si="6"/>
        <v>0.66190000000000004</v>
      </c>
      <c r="P52" s="360">
        <f t="shared" si="6"/>
        <v>2000</v>
      </c>
    </row>
    <row r="53" spans="1:16" ht="24.75" customHeight="1" outlineLevel="1" thickBot="1" x14ac:dyDescent="0.3">
      <c r="A53" s="333">
        <f t="shared" si="2"/>
        <v>2064</v>
      </c>
      <c r="B53" s="57">
        <f t="shared" si="7"/>
        <v>189.82783000000001</v>
      </c>
      <c r="C53" s="57">
        <f t="shared" si="11"/>
        <v>198.52266</v>
      </c>
      <c r="D53" s="49">
        <f t="shared" si="0"/>
        <v>1.89828</v>
      </c>
      <c r="E53" s="49">
        <f t="shared" si="1"/>
        <v>1.9852300000000001</v>
      </c>
      <c r="F53" s="360">
        <f t="shared" si="12"/>
        <v>15.9</v>
      </c>
      <c r="G53" s="360">
        <f t="shared" si="13"/>
        <v>15.9</v>
      </c>
      <c r="H53" s="360">
        <f t="shared" si="8"/>
        <v>18.190000000000001</v>
      </c>
      <c r="I53" s="360">
        <f t="shared" si="13"/>
        <v>18.190000000000001</v>
      </c>
      <c r="J53" s="360">
        <f t="shared" si="9"/>
        <v>278.86</v>
      </c>
      <c r="K53" s="360">
        <f t="shared" si="14"/>
        <v>278.86</v>
      </c>
      <c r="L53" s="360">
        <f t="shared" si="10"/>
        <v>172.84</v>
      </c>
      <c r="M53" s="360">
        <f t="shared" si="15"/>
        <v>172.84</v>
      </c>
      <c r="N53" s="360">
        <f t="shared" si="6"/>
        <v>633</v>
      </c>
      <c r="O53" s="419">
        <f t="shared" si="6"/>
        <v>0.66190000000000004</v>
      </c>
      <c r="P53" s="360">
        <f t="shared" si="6"/>
        <v>2000</v>
      </c>
    </row>
    <row r="56" spans="1:16" x14ac:dyDescent="0.25">
      <c r="A56" s="47" t="s">
        <v>82</v>
      </c>
      <c r="B56" s="47"/>
      <c r="C56" s="47"/>
    </row>
    <row r="57" spans="1:16" ht="19.5" thickBot="1" x14ac:dyDescent="0.3"/>
    <row r="58" spans="1:16" ht="33.75" thickBot="1" x14ac:dyDescent="0.3">
      <c r="A58" s="333" t="s">
        <v>70</v>
      </c>
      <c r="D58" s="333" t="s">
        <v>71</v>
      </c>
      <c r="E58" s="353"/>
      <c r="F58" s="353"/>
      <c r="K58" s="48"/>
      <c r="L58" s="48"/>
    </row>
    <row r="59" spans="1:16" ht="19.5" thickBot="1" x14ac:dyDescent="0.3">
      <c r="A59" s="334"/>
      <c r="D59" s="333" t="s">
        <v>99</v>
      </c>
      <c r="E59" s="353"/>
      <c r="F59" s="353"/>
      <c r="K59" s="48"/>
      <c r="L59" s="48"/>
    </row>
    <row r="60" spans="1:16" x14ac:dyDescent="0.25">
      <c r="A60" s="50">
        <v>1</v>
      </c>
      <c r="D60" s="50">
        <v>2.5</v>
      </c>
      <c r="E60" s="353"/>
      <c r="F60" s="353"/>
      <c r="K60" s="48"/>
      <c r="L60" s="48"/>
    </row>
    <row r="61" spans="1:16" x14ac:dyDescent="0.25">
      <c r="A61" s="51">
        <v>1.5</v>
      </c>
      <c r="D61" s="51">
        <f t="shared" ref="D61:D78" si="16">$D$60*A61</f>
        <v>3.75</v>
      </c>
      <c r="E61" s="353"/>
      <c r="F61" s="353"/>
      <c r="K61" s="48"/>
      <c r="L61" s="48"/>
    </row>
    <row r="62" spans="1:16" x14ac:dyDescent="0.25">
      <c r="A62" s="52">
        <v>2</v>
      </c>
      <c r="D62" s="52">
        <f t="shared" si="16"/>
        <v>5</v>
      </c>
      <c r="E62" s="353"/>
      <c r="F62" s="353"/>
      <c r="K62" s="48"/>
      <c r="L62" s="48"/>
    </row>
    <row r="63" spans="1:16" x14ac:dyDescent="0.25">
      <c r="A63" s="51">
        <v>2.5</v>
      </c>
      <c r="D63" s="51">
        <f t="shared" si="16"/>
        <v>6.25</v>
      </c>
      <c r="E63" s="353"/>
      <c r="F63" s="353"/>
      <c r="K63" s="48"/>
      <c r="L63" s="48"/>
    </row>
    <row r="64" spans="1:16" x14ac:dyDescent="0.25">
      <c r="A64" s="52">
        <v>3</v>
      </c>
      <c r="D64" s="52">
        <f t="shared" si="16"/>
        <v>7.5</v>
      </c>
      <c r="E64" s="353"/>
      <c r="F64" s="353"/>
      <c r="K64" s="48"/>
      <c r="L64" s="48"/>
    </row>
    <row r="65" spans="1:12" x14ac:dyDescent="0.25">
      <c r="A65" s="51">
        <v>3.5</v>
      </c>
      <c r="D65" s="51">
        <f t="shared" si="16"/>
        <v>8.75</v>
      </c>
      <c r="E65" s="353"/>
      <c r="F65" s="353"/>
      <c r="K65" s="48"/>
      <c r="L65" s="48"/>
    </row>
    <row r="66" spans="1:12" x14ac:dyDescent="0.25">
      <c r="A66" s="52">
        <v>4</v>
      </c>
      <c r="D66" s="52">
        <f t="shared" si="16"/>
        <v>10</v>
      </c>
      <c r="E66" s="353"/>
      <c r="F66" s="353"/>
      <c r="K66" s="48"/>
      <c r="L66" s="48"/>
    </row>
    <row r="67" spans="1:12" x14ac:dyDescent="0.25">
      <c r="A67" s="51">
        <v>4.5</v>
      </c>
      <c r="D67" s="51">
        <f t="shared" si="16"/>
        <v>11.25</v>
      </c>
      <c r="E67" s="353"/>
      <c r="F67" s="353"/>
      <c r="K67" s="48"/>
      <c r="L67" s="48"/>
    </row>
    <row r="68" spans="1:12" x14ac:dyDescent="0.25">
      <c r="A68" s="52">
        <v>5</v>
      </c>
      <c r="D68" s="52">
        <f t="shared" si="16"/>
        <v>12.5</v>
      </c>
      <c r="E68" s="353"/>
      <c r="F68" s="353"/>
      <c r="K68" s="48"/>
      <c r="L68" s="48"/>
    </row>
    <row r="69" spans="1:12" x14ac:dyDescent="0.25">
      <c r="A69" s="51">
        <v>5.5</v>
      </c>
      <c r="D69" s="51">
        <f t="shared" si="16"/>
        <v>13.75</v>
      </c>
      <c r="E69" s="353"/>
      <c r="F69" s="353"/>
      <c r="K69" s="48"/>
      <c r="L69" s="48"/>
    </row>
    <row r="70" spans="1:12" x14ac:dyDescent="0.25">
      <c r="A70" s="52">
        <v>6</v>
      </c>
      <c r="D70" s="52">
        <f t="shared" si="16"/>
        <v>15</v>
      </c>
      <c r="E70" s="353"/>
      <c r="F70" s="353"/>
      <c r="K70" s="48"/>
      <c r="L70" s="48"/>
    </row>
    <row r="71" spans="1:12" x14ac:dyDescent="0.25">
      <c r="A71" s="51">
        <v>6.5</v>
      </c>
      <c r="D71" s="51">
        <f t="shared" si="16"/>
        <v>16.25</v>
      </c>
      <c r="E71" s="353"/>
      <c r="F71" s="353"/>
      <c r="K71" s="48"/>
      <c r="L71" s="48"/>
    </row>
    <row r="72" spans="1:12" x14ac:dyDescent="0.25">
      <c r="A72" s="52">
        <v>7</v>
      </c>
      <c r="D72" s="52">
        <f t="shared" si="16"/>
        <v>17.5</v>
      </c>
      <c r="E72" s="353"/>
      <c r="F72" s="353"/>
      <c r="K72" s="48"/>
      <c r="L72" s="48"/>
    </row>
    <row r="73" spans="1:12" x14ac:dyDescent="0.25">
      <c r="A73" s="51">
        <v>7.5</v>
      </c>
      <c r="D73" s="51">
        <f t="shared" si="16"/>
        <v>18.75</v>
      </c>
      <c r="E73" s="353"/>
      <c r="F73" s="353"/>
      <c r="K73" s="48"/>
      <c r="L73" s="48"/>
    </row>
    <row r="74" spans="1:12" x14ac:dyDescent="0.25">
      <c r="A74" s="52">
        <v>8</v>
      </c>
      <c r="D74" s="52">
        <f t="shared" si="16"/>
        <v>20</v>
      </c>
      <c r="E74" s="353"/>
      <c r="F74" s="353"/>
      <c r="K74" s="48"/>
      <c r="L74" s="48"/>
    </row>
    <row r="75" spans="1:12" x14ac:dyDescent="0.25">
      <c r="A75" s="51">
        <v>8.5</v>
      </c>
      <c r="D75" s="51">
        <f t="shared" si="16"/>
        <v>21.25</v>
      </c>
      <c r="E75" s="353"/>
      <c r="F75" s="353"/>
      <c r="K75" s="48"/>
      <c r="L75" s="48"/>
    </row>
    <row r="76" spans="1:12" x14ac:dyDescent="0.25">
      <c r="A76" s="52">
        <v>9</v>
      </c>
      <c r="D76" s="52">
        <f t="shared" si="16"/>
        <v>22.5</v>
      </c>
      <c r="E76" s="353"/>
      <c r="F76" s="353"/>
      <c r="K76" s="48"/>
      <c r="L76" s="48"/>
    </row>
    <row r="77" spans="1:12" x14ac:dyDescent="0.25">
      <c r="A77" s="51">
        <v>9.5</v>
      </c>
      <c r="D77" s="51">
        <f t="shared" si="16"/>
        <v>23.75</v>
      </c>
      <c r="E77" s="353"/>
      <c r="F77" s="353"/>
      <c r="K77" s="48"/>
      <c r="L77" s="48"/>
    </row>
    <row r="78" spans="1:12" x14ac:dyDescent="0.25">
      <c r="A78" s="53">
        <v>10</v>
      </c>
      <c r="D78" s="53">
        <f t="shared" si="16"/>
        <v>25</v>
      </c>
      <c r="E78" s="353"/>
      <c r="F78" s="353"/>
      <c r="K78" s="48"/>
      <c r="L78" s="48"/>
    </row>
    <row r="81" spans="1:3" x14ac:dyDescent="0.25">
      <c r="A81" s="54"/>
      <c r="B81" s="54"/>
      <c r="C81" s="54"/>
    </row>
  </sheetData>
  <mergeCells count="4">
    <mergeCell ref="J5:K5"/>
    <mergeCell ref="L5:M5"/>
    <mergeCell ref="F5:G5"/>
    <mergeCell ref="H5:I5"/>
  </mergeCells>
  <pageMargins left="0.7" right="0.7" top="0.78740157499999996" bottom="0.78740157499999996" header="0.3" footer="0.3"/>
  <pageSetup paperSize="9" scale="24" orientation="portrait" r:id="rId1"/>
  <headerFooter>
    <oddHeader>&amp;L&amp;"TheSans UHH,Fett"&amp;22&amp;UStundensatz SHK u. TUT</oddHead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9">
    <tabColor theme="2" tint="-9.9978637043366805E-2"/>
    <pageSetUpPr fitToPage="1"/>
  </sheetPr>
  <dimension ref="A1:H34"/>
  <sheetViews>
    <sheetView showGridLines="0" view="pageBreakPreview" zoomScale="115" zoomScaleNormal="100" zoomScaleSheetLayoutView="115" workbookViewId="0">
      <selection activeCell="J18" sqref="J18"/>
    </sheetView>
  </sheetViews>
  <sheetFormatPr baseColWidth="10" defaultColWidth="11.42578125" defaultRowHeight="18" outlineLevelRow="1" x14ac:dyDescent="0.25"/>
  <cols>
    <col min="1" max="1" width="30.42578125" style="27" customWidth="1"/>
    <col min="2" max="2" width="14.28515625" style="27" customWidth="1"/>
    <col min="3" max="3" width="12" style="27" customWidth="1"/>
    <col min="4" max="4" width="13.5703125" style="27" bestFit="1" customWidth="1"/>
    <col min="5" max="5" width="11.7109375" style="27" bestFit="1" customWidth="1"/>
    <col min="6" max="6" width="11.42578125" style="27"/>
    <col min="7" max="7" width="27.42578125" style="27" customWidth="1"/>
    <col min="8" max="8" width="31.85546875" style="27" customWidth="1"/>
    <col min="9" max="9" width="11.42578125" style="27"/>
    <col min="10" max="10" width="53.85546875" style="27" customWidth="1"/>
    <col min="11" max="16384" width="11.42578125" style="27"/>
  </cols>
  <sheetData>
    <row r="1" spans="1:8" x14ac:dyDescent="0.25">
      <c r="A1" s="33" t="s">
        <v>47</v>
      </c>
    </row>
    <row r="2" spans="1:8" ht="18.75" thickBot="1" x14ac:dyDescent="0.3"/>
    <row r="3" spans="1:8" ht="19.5" customHeight="1" thickBot="1" x14ac:dyDescent="0.3">
      <c r="A3" s="343"/>
      <c r="B3" s="343" t="s">
        <v>48</v>
      </c>
    </row>
    <row r="4" spans="1:8" ht="19.5" customHeight="1" thickBot="1" x14ac:dyDescent="0.3">
      <c r="A4" s="344" t="s">
        <v>147</v>
      </c>
      <c r="B4" s="55">
        <v>18.25</v>
      </c>
    </row>
    <row r="6" spans="1:8" x14ac:dyDescent="0.25">
      <c r="A6" s="33" t="s">
        <v>54</v>
      </c>
    </row>
    <row r="7" spans="1:8" ht="18.75" thickBot="1" x14ac:dyDescent="0.3"/>
    <row r="8" spans="1:8" x14ac:dyDescent="0.25">
      <c r="A8" s="899"/>
      <c r="B8" s="345" t="s">
        <v>36</v>
      </c>
    </row>
    <row r="9" spans="1:8" ht="35.25" thickBot="1" x14ac:dyDescent="0.3">
      <c r="A9" s="900"/>
      <c r="B9" s="346" t="s">
        <v>11</v>
      </c>
      <c r="C9" s="346" t="s">
        <v>129</v>
      </c>
      <c r="D9" s="346" t="s">
        <v>130</v>
      </c>
      <c r="E9" s="348" t="s">
        <v>133</v>
      </c>
    </row>
    <row r="10" spans="1:8" ht="26.25" customHeight="1" thickBot="1" x14ac:dyDescent="0.3">
      <c r="A10" s="345" t="s">
        <v>64</v>
      </c>
      <c r="B10" s="56">
        <f>C10+D10+E10</f>
        <v>0.28220000000000001</v>
      </c>
      <c r="C10" s="56">
        <v>0.13</v>
      </c>
      <c r="D10" s="56">
        <v>0.15</v>
      </c>
      <c r="E10" s="56">
        <v>2.2000000000000001E-3</v>
      </c>
      <c r="G10" s="415" t="s">
        <v>183</v>
      </c>
      <c r="H10" s="421" t="s">
        <v>200</v>
      </c>
    </row>
    <row r="11" spans="1:8" ht="27" customHeight="1" thickBot="1" x14ac:dyDescent="0.3">
      <c r="A11" s="345" t="e">
        <f>CONCATENATE("SV-Beitrag bei ü. ",$G$11," Euro"," / ",$H$11," Euro")</f>
        <v>#N/A</v>
      </c>
      <c r="B11" s="56">
        <f>(D11+E11)*1</f>
        <v>9.5399999999999999E-2</v>
      </c>
      <c r="C11" s="56"/>
      <c r="D11" s="398">
        <f>B20/2</f>
        <v>9.2999999999999999E-2</v>
      </c>
      <c r="E11" s="56">
        <v>2.3999999999999998E-3</v>
      </c>
      <c r="G11" s="30">
        <v>450</v>
      </c>
      <c r="H11" s="30" t="e">
        <f>VLOOKUP(YEAR('HR-SHK, WHK u.Tut'!K6),'Std. Satz_SHK, WHK u. TUT'!$A$7:$P$54,14,0)</f>
        <v>#N/A</v>
      </c>
    </row>
    <row r="12" spans="1:8" ht="30.75" customHeight="1" thickBot="1" x14ac:dyDescent="0.3">
      <c r="A12" s="363" t="e">
        <f>CONCATENATE("SV-Beitrag bei ü. ",$G$11," Euro"," / ",$H$11," Euro")</f>
        <v>#N/A</v>
      </c>
      <c r="B12" s="56">
        <v>0.21390000000000001</v>
      </c>
      <c r="C12" s="378"/>
    </row>
    <row r="18" spans="1:8" x14ac:dyDescent="0.25">
      <c r="H18" s="405"/>
    </row>
    <row r="19" spans="1:8" ht="19.5" customHeight="1" x14ac:dyDescent="0.25"/>
    <row r="20" spans="1:8" ht="19.5" customHeight="1" x14ac:dyDescent="0.25">
      <c r="A20" s="399" t="s">
        <v>189</v>
      </c>
      <c r="B20" s="404">
        <v>0.186</v>
      </c>
    </row>
    <row r="21" spans="1:8" x14ac:dyDescent="0.25">
      <c r="A21" s="414" t="s">
        <v>192</v>
      </c>
      <c r="B21" s="420" t="e">
        <f>VLOOKUP(YEAR('HR-SHK, WHK u.Tut'!K6),'Std. Satz_SHK, WHK u. TUT'!$A$7:$P$54,15,0)*1</f>
        <v>#N/A</v>
      </c>
    </row>
    <row r="22" spans="1:8" x14ac:dyDescent="0.25">
      <c r="A22" s="414" t="s">
        <v>193</v>
      </c>
      <c r="B22" s="420" t="e">
        <f>VLOOKUP(YEAR('HR-SHK, WHK u.Tut'!K6),'Std. Satz_SHK, WHK u. TUT'!$A$7:$P$54,16,0)*1</f>
        <v>#N/A</v>
      </c>
    </row>
    <row r="23" spans="1:8" x14ac:dyDescent="0.25">
      <c r="A23" s="399"/>
    </row>
    <row r="24" spans="1:8" hidden="1" outlineLevel="1" x14ac:dyDescent="0.25">
      <c r="A24" s="403" t="s">
        <v>191</v>
      </c>
    </row>
    <row r="25" spans="1:8" hidden="1" outlineLevel="1" x14ac:dyDescent="0.25">
      <c r="A25" s="410">
        <v>1</v>
      </c>
      <c r="B25" s="408" t="e">
        <f>(B21*H11)</f>
        <v>#N/A</v>
      </c>
    </row>
    <row r="26" spans="1:8" hidden="1" outlineLevel="1" x14ac:dyDescent="0.25">
      <c r="A26" s="411">
        <v>2</v>
      </c>
      <c r="B26" s="409" t="e">
        <f>((B22/(B22-H11))-((H11/(B22-H11))*B21))</f>
        <v>#N/A</v>
      </c>
      <c r="C26" s="399"/>
      <c r="D26" s="400"/>
      <c r="E26" s="407"/>
    </row>
    <row r="27" spans="1:8" hidden="1" outlineLevel="1" x14ac:dyDescent="0.25">
      <c r="A27" s="411">
        <v>3</v>
      </c>
      <c r="B27" s="412" t="e">
        <f>(B22/(B22-H11))</f>
        <v>#N/A</v>
      </c>
    </row>
    <row r="28" spans="1:8" collapsed="1" x14ac:dyDescent="0.25">
      <c r="A28" s="399"/>
    </row>
    <row r="29" spans="1:8" x14ac:dyDescent="0.25">
      <c r="A29" s="33" t="s">
        <v>199</v>
      </c>
    </row>
    <row r="30" spans="1:8" x14ac:dyDescent="0.35">
      <c r="A30" s="401" t="s">
        <v>187</v>
      </c>
    </row>
    <row r="31" spans="1:8" x14ac:dyDescent="0.35">
      <c r="A31" s="401" t="s">
        <v>188</v>
      </c>
    </row>
    <row r="32" spans="1:8" x14ac:dyDescent="0.35">
      <c r="A32" s="402" t="s">
        <v>190</v>
      </c>
    </row>
    <row r="33" spans="1:1" x14ac:dyDescent="0.25">
      <c r="A33" s="399"/>
    </row>
    <row r="34" spans="1:1" x14ac:dyDescent="0.25">
      <c r="A34" s="347" t="s">
        <v>292</v>
      </c>
    </row>
  </sheetData>
  <mergeCells count="1">
    <mergeCell ref="A8:A9"/>
  </mergeCells>
  <hyperlinks>
    <hyperlink ref="A34" r:id="rId1" display="https://www.lohn-info.de/uebergangsbereich_gleitzone_2026.html" xr:uid="{62500B3C-912E-4121-BD04-C75080466D74}"/>
  </hyperlinks>
  <pageMargins left="0.7" right="0.7" top="0.78740157499999996" bottom="0.78740157499999996" header="0.3" footer="0.3"/>
  <pageSetup paperSize="9" scale="57" orientation="portrait" r:id="rId2"/>
  <headerFooter>
    <oddHeader xml:space="preserve">&amp;L&amp;"TheSans UHH,Fett"&amp;22&amp;UNebenkosten SHK u. TUT&amp;"-,Standard"&amp;11&amp;U
</oddHeader>
  </headerFooter>
  <drawing r:id="rId3"/>
  <legacy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8A77B-6F4D-4000-B46F-200C304F2BDC}">
  <sheetPr codeName="Tabelle9">
    <tabColor theme="9" tint="0.39997558519241921"/>
  </sheetPr>
  <dimension ref="A1:N120"/>
  <sheetViews>
    <sheetView showGridLines="0" zoomScale="145" zoomScaleNormal="145" workbookViewId="0">
      <selection activeCell="N15" sqref="A13:N15"/>
    </sheetView>
  </sheetViews>
  <sheetFormatPr baseColWidth="10" defaultColWidth="11.42578125" defaultRowHeight="15" x14ac:dyDescent="0.25"/>
  <cols>
    <col min="1" max="9" width="11.42578125" style="15"/>
    <col min="10" max="10" width="60.7109375" style="15" customWidth="1"/>
    <col min="11" max="16384" width="11.42578125" style="15"/>
  </cols>
  <sheetData>
    <row r="1" spans="1:13" x14ac:dyDescent="0.25">
      <c r="A1" s="2" t="s">
        <v>168</v>
      </c>
      <c r="J1" s="2" t="s">
        <v>154</v>
      </c>
      <c r="M1" s="2" t="s">
        <v>194</v>
      </c>
    </row>
    <row r="2" spans="1:13" x14ac:dyDescent="0.25">
      <c r="A2" s="2"/>
      <c r="J2" s="2"/>
    </row>
    <row r="3" spans="1:13" ht="22.9" customHeight="1" x14ac:dyDescent="0.25">
      <c r="A3" s="347" t="s">
        <v>262</v>
      </c>
      <c r="J3" s="512" t="s">
        <v>236</v>
      </c>
      <c r="M3" s="393" t="s">
        <v>305</v>
      </c>
    </row>
    <row r="22" spans="1:14" x14ac:dyDescent="0.25">
      <c r="A22" s="347" t="s">
        <v>176</v>
      </c>
    </row>
    <row r="25" spans="1:14" x14ac:dyDescent="0.25">
      <c r="A25" s="347" t="s">
        <v>177</v>
      </c>
    </row>
    <row r="26" spans="1:14" x14ac:dyDescent="0.25">
      <c r="M26" s="382"/>
      <c r="N26" s="510"/>
    </row>
    <row r="27" spans="1:14" x14ac:dyDescent="0.25">
      <c r="M27" s="382"/>
      <c r="N27" s="511"/>
    </row>
    <row r="28" spans="1:14" x14ac:dyDescent="0.25">
      <c r="M28" s="382"/>
      <c r="N28" s="511"/>
    </row>
    <row r="29" spans="1:14" x14ac:dyDescent="0.25">
      <c r="M29" s="382"/>
      <c r="N29" s="510"/>
    </row>
    <row r="30" spans="1:14" x14ac:dyDescent="0.25">
      <c r="M30" s="382"/>
      <c r="N30" s="511"/>
    </row>
    <row r="42" spans="1:1" x14ac:dyDescent="0.25">
      <c r="A42" s="347"/>
    </row>
    <row r="43" spans="1:1" x14ac:dyDescent="0.25">
      <c r="A43" s="347" t="s">
        <v>263</v>
      </c>
    </row>
    <row r="44" spans="1:1" x14ac:dyDescent="0.25">
      <c r="A44" s="347" t="s">
        <v>264</v>
      </c>
    </row>
    <row r="45" spans="1:1" x14ac:dyDescent="0.25">
      <c r="A45" s="347" t="s">
        <v>186</v>
      </c>
    </row>
    <row r="46" spans="1:1" x14ac:dyDescent="0.25">
      <c r="A46" s="347" t="s">
        <v>169</v>
      </c>
    </row>
    <row r="48" spans="1:1" x14ac:dyDescent="0.25">
      <c r="A48" s="347"/>
    </row>
    <row r="49" spans="1:10" x14ac:dyDescent="0.25">
      <c r="A49" s="347"/>
    </row>
    <row r="50" spans="1:10" x14ac:dyDescent="0.25">
      <c r="A50" s="347"/>
    </row>
    <row r="64" spans="1:10" x14ac:dyDescent="0.25">
      <c r="J64" s="393"/>
    </row>
    <row r="110" spans="10:10" x14ac:dyDescent="0.25">
      <c r="J110" s="347" t="s">
        <v>262</v>
      </c>
    </row>
    <row r="116" spans="1:10" x14ac:dyDescent="0.25">
      <c r="J116" s="393"/>
    </row>
    <row r="118" spans="1:10" x14ac:dyDescent="0.25">
      <c r="A118" s="2" t="s">
        <v>281</v>
      </c>
    </row>
    <row r="119" spans="1:10" x14ac:dyDescent="0.25">
      <c r="A119" s="15" t="s">
        <v>293</v>
      </c>
    </row>
    <row r="120" spans="1:10" x14ac:dyDescent="0.25">
      <c r="A120" s="347"/>
    </row>
  </sheetData>
  <hyperlinks>
    <hyperlink ref="J3" r:id="rId1" xr:uid="{74ED728B-7CF6-45B9-A770-F83DE3D83D10}"/>
    <hyperlink ref="A46" r:id="rId2" display="https://www.krankenkassen.de/gesetzliche-krankenkassen/krankenkasse-beitrag/arbeitgeber/umlage-u2/" xr:uid="{D8117348-A52B-480A-9F0F-CF4B8044E695}"/>
    <hyperlink ref="A22" r:id="rId3" display="https://oeffentlicher-dienst.info/g/tv-l-corona-sonderzahlung" xr:uid="{0935100D-DA78-4F2F-9186-7661E6FEFF33}"/>
    <hyperlink ref="A25" r:id="rId4" display="https://oeffentlicher-dienst.info/tv-l/tr/2019/" xr:uid="{8BB2AFBE-25DC-459C-B2F6-BAAF24425B91}"/>
    <hyperlink ref="A45" r:id="rId5" display="https://www.lohn-info.de/beitragsberechnung.html" xr:uid="{EFE54725-953F-4D63-8154-B771676B0018}"/>
    <hyperlink ref="A3" r:id="rId6" display="https://oeffentlicher-dienst.info/tv-l/tr/2025/" xr:uid="{6597981D-014C-4153-9F85-0D15FBE0B24E}"/>
    <hyperlink ref="A43" r:id="rId7" display="https://www.tk.de/resource/blob/2206606/7445181694077ffa3c734446798a01f1/beitragstabelle-2026-data.pdf" xr:uid="{C7DB63BB-1D19-4365-93D8-BA431867667F}"/>
    <hyperlink ref="J110" r:id="rId8" display="https://oeffentlicher-dienst.info/tv-l/tr/2025/" xr:uid="{80688F2F-23B4-4A5C-A00B-8673A7672415}"/>
    <hyperlink ref="A44" r:id="rId9" xr:uid="{0DD5D08C-9CB2-43C0-A948-D978781D3462}"/>
  </hyperlinks>
  <pageMargins left="0.7" right="0.7" top="0.78740157499999996" bottom="0.78740157499999996" header="0.3" footer="0.3"/>
  <drawing r:id="rId1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3FC64-FACD-46C2-B283-F127763A3582}">
  <sheetPr codeName="Tabelle10">
    <tabColor theme="7" tint="0.39997558519241921"/>
  </sheetPr>
  <dimension ref="A1:I12"/>
  <sheetViews>
    <sheetView workbookViewId="0">
      <selection activeCell="S25" sqref="S25"/>
    </sheetView>
  </sheetViews>
  <sheetFormatPr baseColWidth="10" defaultColWidth="11.42578125" defaultRowHeight="18" x14ac:dyDescent="0.4"/>
  <cols>
    <col min="1" max="16384" width="11.42578125" style="513"/>
  </cols>
  <sheetData>
    <row r="1" spans="1:9" x14ac:dyDescent="0.4">
      <c r="A1" s="513" t="s">
        <v>237</v>
      </c>
    </row>
    <row r="12" spans="1:9" x14ac:dyDescent="0.4">
      <c r="I12" s="610"/>
    </row>
  </sheetData>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40C44-2C47-4734-9418-AC04E83CC1D9}">
  <sheetPr codeName="Tabelle11">
    <tabColor theme="0" tint="-0.34998626667073579"/>
  </sheetPr>
  <dimension ref="A1:D7"/>
  <sheetViews>
    <sheetView showGridLines="0" topLeftCell="A4" workbookViewId="0">
      <selection activeCell="C7" sqref="C7"/>
    </sheetView>
  </sheetViews>
  <sheetFormatPr baseColWidth="10" defaultRowHeight="15" x14ac:dyDescent="0.25"/>
  <cols>
    <col min="1" max="1" width="10.140625" bestFit="1" customWidth="1"/>
    <col min="2" max="2" width="13.7109375" customWidth="1"/>
    <col min="3" max="3" width="106.42578125" bestFit="1" customWidth="1"/>
    <col min="4" max="4" width="28.42578125" customWidth="1"/>
  </cols>
  <sheetData>
    <row r="1" spans="1:4" x14ac:dyDescent="0.25">
      <c r="A1" t="s">
        <v>249</v>
      </c>
      <c r="B1" t="s">
        <v>250</v>
      </c>
      <c r="C1" t="s">
        <v>251</v>
      </c>
      <c r="D1" t="s">
        <v>252</v>
      </c>
    </row>
    <row r="2" spans="1:4" ht="25.5" customHeight="1" x14ac:dyDescent="0.25">
      <c r="A2" s="589" t="s">
        <v>254</v>
      </c>
      <c r="B2" s="590">
        <v>45889</v>
      </c>
      <c r="C2" s="589" t="s">
        <v>253</v>
      </c>
      <c r="D2" s="589" t="s">
        <v>256</v>
      </c>
    </row>
    <row r="3" spans="1:4" ht="92.25" customHeight="1" x14ac:dyDescent="0.25">
      <c r="A3" s="589" t="s">
        <v>255</v>
      </c>
      <c r="B3" s="590">
        <v>46001</v>
      </c>
      <c r="C3" s="591" t="s">
        <v>257</v>
      </c>
      <c r="D3" s="589" t="s">
        <v>256</v>
      </c>
    </row>
    <row r="4" spans="1:4" ht="120" customHeight="1" x14ac:dyDescent="0.25">
      <c r="A4" s="592" t="s">
        <v>261</v>
      </c>
      <c r="B4" s="593">
        <v>46072</v>
      </c>
      <c r="C4" s="603" t="s">
        <v>283</v>
      </c>
      <c r="D4" s="589" t="s">
        <v>256</v>
      </c>
    </row>
    <row r="5" spans="1:4" ht="142.5" customHeight="1" x14ac:dyDescent="0.25">
      <c r="A5" s="604" t="s">
        <v>285</v>
      </c>
      <c r="B5" s="606">
        <v>46132</v>
      </c>
      <c r="C5" s="605" t="s">
        <v>294</v>
      </c>
      <c r="D5" s="589" t="s">
        <v>256</v>
      </c>
    </row>
    <row r="6" spans="1:4" ht="179.25" customHeight="1" x14ac:dyDescent="0.25">
      <c r="A6" s="607" t="s">
        <v>295</v>
      </c>
      <c r="B6" s="608">
        <v>46162</v>
      </c>
      <c r="C6" s="618" t="s">
        <v>306</v>
      </c>
      <c r="D6" s="589" t="s">
        <v>256</v>
      </c>
    </row>
    <row r="7" spans="1:4" ht="39" customHeight="1" x14ac:dyDescent="0.25">
      <c r="A7" s="619" t="s">
        <v>307</v>
      </c>
      <c r="B7" s="620">
        <v>46176</v>
      </c>
      <c r="C7" s="621" t="s">
        <v>308</v>
      </c>
      <c r="D7" s="589" t="s">
        <v>256</v>
      </c>
    </row>
  </sheetData>
  <pageMargins left="0.7" right="0.7" top="0.78740157499999996" bottom="0.78740157499999996"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90C40-5036-4933-9E25-1DC9CC034EEE}">
  <sheetPr codeName="Tabelle12">
    <tabColor theme="0" tint="-0.34998626667073579"/>
  </sheetPr>
  <dimension ref="A1:I55"/>
  <sheetViews>
    <sheetView topLeftCell="A25" workbookViewId="0">
      <selection activeCell="G60" sqref="G60"/>
    </sheetView>
  </sheetViews>
  <sheetFormatPr baseColWidth="10" defaultRowHeight="15" x14ac:dyDescent="0.25"/>
  <cols>
    <col min="1" max="1" width="30.7109375" style="15" customWidth="1"/>
    <col min="8" max="8" width="11.5703125" style="15"/>
    <col min="9" max="9" width="26.85546875" customWidth="1"/>
  </cols>
  <sheetData>
    <row r="1" spans="1:9" s="15" customFormat="1" ht="18.75" x14ac:dyDescent="0.3">
      <c r="A1" s="595" t="s">
        <v>301</v>
      </c>
    </row>
    <row r="2" spans="1:9" s="15" customFormat="1" x14ac:dyDescent="0.25"/>
    <row r="3" spans="1:9" s="15" customFormat="1" x14ac:dyDescent="0.25">
      <c r="A3" s="2" t="s">
        <v>302</v>
      </c>
    </row>
    <row r="4" spans="1:9" s="15" customFormat="1" x14ac:dyDescent="0.25"/>
    <row r="5" spans="1:9" x14ac:dyDescent="0.25">
      <c r="A5" s="393" t="s">
        <v>290</v>
      </c>
      <c r="B5" s="393" t="s">
        <v>266</v>
      </c>
      <c r="C5" s="393" t="s">
        <v>267</v>
      </c>
      <c r="D5" s="393" t="s">
        <v>268</v>
      </c>
      <c r="E5" s="393" t="s">
        <v>269</v>
      </c>
      <c r="F5" s="393" t="s">
        <v>270</v>
      </c>
      <c r="G5" s="393" t="s">
        <v>271</v>
      </c>
      <c r="H5" s="393" t="s">
        <v>11</v>
      </c>
      <c r="I5" s="393" t="s">
        <v>289</v>
      </c>
    </row>
    <row r="6" spans="1:9" x14ac:dyDescent="0.25">
      <c r="A6" s="15" t="s">
        <v>272</v>
      </c>
      <c r="B6" s="594" t="e">
        <f>'HR-DM (U3,U4,U5AUF)'!$G$69-'HR-LM (U2,U5FOD,U7)'!$G$69</f>
        <v>#VALUE!</v>
      </c>
      <c r="C6" s="594">
        <f>'HR-DM (U3,U4,U5AUF)'!$V$69-'HR-LM (U2,U5FOD,U7)'!$V$69</f>
        <v>0</v>
      </c>
      <c r="D6" s="594">
        <f>'HR-DM (U3,U4,U5AUF)'!$AL$69-'HR-LM (U2,U5FOD,U7)'!$AL$69</f>
        <v>0</v>
      </c>
      <c r="E6" s="594">
        <f>'HR-DM (U3,U4,U5AUF)'!$G$89-'HR-LM (U2,U5FOD,U7)'!$G$89</f>
        <v>0</v>
      </c>
      <c r="F6" s="594">
        <f>'HR-DM (U3,U4,U5AUF)'!$V$89-'HR-LM (U2,U5FOD,U7)'!$V$89</f>
        <v>0</v>
      </c>
      <c r="G6" s="594">
        <f>'HR-DM (U3,U4,U5AUF)'!$AL$89-'HR-LM (U2,U5FOD,U7)'!$AL$89</f>
        <v>0</v>
      </c>
      <c r="H6" s="594" t="e">
        <f>SUM(B6:G6)</f>
        <v>#VALUE!</v>
      </c>
    </row>
    <row r="7" spans="1:9" x14ac:dyDescent="0.25">
      <c r="A7" s="15" t="s">
        <v>273</v>
      </c>
      <c r="B7" s="594" t="e">
        <f>'HR-DM (U3,U4,U5AUF)'!$G$69-'HR-AZA(P)'!$G$69</f>
        <v>#VALUE!</v>
      </c>
      <c r="C7" s="594">
        <f>'HR-DM (U3,U4,U5AUF)'!$V$69-'HR-AZA(P)'!$V$69</f>
        <v>0</v>
      </c>
      <c r="D7" s="594">
        <f>'HR-DM (U3,U4,U5AUF)'!$AL$69-'HR-AZA(P)'!$AL$69</f>
        <v>0</v>
      </c>
      <c r="E7" s="594">
        <f>'HR-DM (U3,U4,U5AUF)'!$G$89-'HR-AZA(P)'!$G$89</f>
        <v>0</v>
      </c>
      <c r="F7" s="594">
        <f>'HR-DM (U3,U4,U5AUF)'!$V$89-'HR-AZA(P)'!$V$89</f>
        <v>0</v>
      </c>
      <c r="G7" s="594">
        <f>'HR-DM (U3,U4,U5AUF)'!$G$89-'HR-AZA(P)'!$G$89</f>
        <v>0</v>
      </c>
      <c r="H7" s="594" t="e">
        <f t="shared" ref="H7:H10" si="0">SUM(B7:G7)</f>
        <v>#VALUE!</v>
      </c>
    </row>
    <row r="8" spans="1:9" x14ac:dyDescent="0.25">
      <c r="A8" s="15" t="s">
        <v>274</v>
      </c>
      <c r="B8" s="594" t="e">
        <f>'HR-DM (U3,U4,U5AUF)'!$G$69-'HR-EU'!$G$69</f>
        <v>#VALUE!</v>
      </c>
      <c r="C8" s="594">
        <f>'HR-DM (U3,U4,U5AUF)'!$V$69-'HR-EU'!$V$69</f>
        <v>0</v>
      </c>
      <c r="D8" s="594">
        <f>'HR-DM (U3,U4,U5AUF)'!$AL$69-'HR-EU'!$AL$69</f>
        <v>0</v>
      </c>
      <c r="E8" s="594">
        <f>'HR-DM (U3,U4,U5AUF)'!$G$89-'HR-EU'!$G$89</f>
        <v>0</v>
      </c>
      <c r="F8" s="594">
        <f>'HR-DM (U3,U4,U5AUF)'!$V$89-'HR-EU'!$V$89</f>
        <v>0</v>
      </c>
      <c r="G8" s="594">
        <f>'HR-DM (U3,U4,U5AUF)'!$AL$89-'HR-EU'!$AL$89</f>
        <v>0</v>
      </c>
      <c r="H8" s="594" t="e">
        <f t="shared" si="0"/>
        <v>#VALUE!</v>
      </c>
    </row>
    <row r="9" spans="1:9" x14ac:dyDescent="0.25">
      <c r="A9" s="15" t="s">
        <v>275</v>
      </c>
      <c r="B9" s="594" t="e">
        <f>'HR-DM (U3,U4,U5AUF)'!$G$69-PKHR_für_Tarifpersonal!$D$25</f>
        <v>#VALUE!</v>
      </c>
      <c r="C9" s="594">
        <f>'HR-DM (U3,U4,U5AUF)'!$V$69-PKHR_für_Tarifpersonal!$D$26</f>
        <v>0</v>
      </c>
      <c r="D9" s="594">
        <f>'HR-DM (U3,U4,U5AUF)'!$AL$69-PKHR_für_Tarifpersonal!$D$27</f>
        <v>0</v>
      </c>
      <c r="E9" s="594">
        <f>'HR-DM (U3,U4,U5AUF)'!$G$89-PKHR_für_Tarifpersonal!$D$28</f>
        <v>0</v>
      </c>
      <c r="F9" s="594">
        <f>'HR-DM (U3,U4,U5AUF)'!$V$89-PKHR_für_Tarifpersonal!$D$29</f>
        <v>0</v>
      </c>
      <c r="G9" s="594">
        <f>'HR-DM (U3,U4,U5AUF)'!$AL$89-PKHR_für_Tarifpersonal!$D$30</f>
        <v>0</v>
      </c>
      <c r="H9" s="594" t="e">
        <f t="shared" si="0"/>
        <v>#VALUE!</v>
      </c>
    </row>
    <row r="10" spans="1:9" s="15" customFormat="1" x14ac:dyDescent="0.25">
      <c r="A10" s="15" t="s">
        <v>282</v>
      </c>
      <c r="B10" s="594" t="e">
        <f>PKHR_für_SHK_WHK_TUT!H19-'HR-SHK, WHK u.Tut'!I52</f>
        <v>#N/A</v>
      </c>
      <c r="C10" s="594">
        <f>PKHR_für_SHK_WHK_TUT!H20-'HR-SHK, WHK u.Tut'!T52</f>
        <v>0</v>
      </c>
      <c r="D10" s="594">
        <f>PKHR_für_SHK_WHK_TUT!H21-'HR-SHK, WHK u.Tut'!AE52</f>
        <v>0</v>
      </c>
      <c r="E10" s="594">
        <f>PKHR_für_SHK_WHK_TUT!H22-'HR-SHK, WHK u.Tut'!I70</f>
        <v>0</v>
      </c>
      <c r="F10" s="594">
        <f>PKHR_für_SHK_WHK_TUT!H23-'HR-SHK, WHK u.Tut'!T70</f>
        <v>0</v>
      </c>
      <c r="G10" s="594">
        <f>PKHR_für_SHK_WHK_TUT!H24-'HR-SHK, WHK u.Tut'!AE70</f>
        <v>0</v>
      </c>
      <c r="H10" s="594" t="e">
        <f t="shared" si="0"/>
        <v>#N/A</v>
      </c>
    </row>
    <row r="11" spans="1:9" s="15" customFormat="1" x14ac:dyDescent="0.25"/>
    <row r="12" spans="1:9" s="15" customFormat="1" x14ac:dyDescent="0.25">
      <c r="A12" s="2" t="s">
        <v>286</v>
      </c>
    </row>
    <row r="13" spans="1:9" s="15" customFormat="1" x14ac:dyDescent="0.25">
      <c r="A13" s="393"/>
    </row>
    <row r="14" spans="1:9" x14ac:dyDescent="0.25">
      <c r="A14" s="393" t="s">
        <v>290</v>
      </c>
      <c r="B14" s="393" t="s">
        <v>266</v>
      </c>
      <c r="C14" s="393" t="s">
        <v>267</v>
      </c>
      <c r="D14" s="393" t="s">
        <v>268</v>
      </c>
      <c r="E14" s="393" t="s">
        <v>269</v>
      </c>
      <c r="F14" s="393" t="s">
        <v>270</v>
      </c>
      <c r="G14" s="393" t="s">
        <v>271</v>
      </c>
      <c r="H14" s="393" t="s">
        <v>11</v>
      </c>
      <c r="I14" s="393" t="s">
        <v>289</v>
      </c>
    </row>
    <row r="15" spans="1:9" x14ac:dyDescent="0.25">
      <c r="A15" s="15" t="s">
        <v>272</v>
      </c>
      <c r="B15" s="594" t="e">
        <f>'HR-DM (U3,U4,U5AUF)'!$N$69-'HR-LM (U2,U5FOD,U7)'!$N$69</f>
        <v>#VALUE!</v>
      </c>
      <c r="C15" s="594" t="e">
        <f>'HR-DM (U3,U4,U5AUF)'!$AD$69-'HR-LM (U2,U5FOD,U7)'!$AD$69</f>
        <v>#N/A</v>
      </c>
      <c r="D15" s="594" t="e">
        <f>'HR-DM (U3,U4,U5AUF)'!$AT$69-'HR-LM (U2,U5FOD,U7)'!$AT$69</f>
        <v>#N/A</v>
      </c>
      <c r="E15" s="594" t="e">
        <f>'HR-DM (U3,U4,U5AUF)'!$N$89-'HR-LM (U2,U5FOD,U7)'!$N$89</f>
        <v>#N/A</v>
      </c>
      <c r="F15" s="594" t="e">
        <f>'HR-DM (U3,U4,U5AUF)'!$AD$89-'HR-LM (U2,U5FOD,U7)'!$AD$89</f>
        <v>#N/A</v>
      </c>
      <c r="G15" s="594" t="e">
        <f>'HR-DM (U3,U4,U5AUF)'!$AT$89-'HR-LM (U2,U5FOD,U7)'!$AT$89</f>
        <v>#N/A</v>
      </c>
      <c r="H15" s="594" t="e">
        <f t="shared" ref="H15:H17" si="1">SUM(B15:G15)</f>
        <v>#VALUE!</v>
      </c>
    </row>
    <row r="16" spans="1:9" x14ac:dyDescent="0.25">
      <c r="A16" s="15" t="s">
        <v>273</v>
      </c>
      <c r="B16" s="594" t="e">
        <f>'HR-DM (U3,U4,U5AUF)'!$N$69-'HR-AZA(P)'!$N$69</f>
        <v>#VALUE!</v>
      </c>
      <c r="C16" s="594" t="e">
        <f>'HR-DM (U3,U4,U5AUF)'!$AD$69-'HR-AZA(P)'!$AD$69</f>
        <v>#N/A</v>
      </c>
      <c r="D16" s="594" t="e">
        <f>'HR-DM (U3,U4,U5AUF)'!$AT$69-'HR-AZA(P)'!$AT$69</f>
        <v>#N/A</v>
      </c>
      <c r="E16" s="594" t="e">
        <f>'HR-DM (U3,U4,U5AUF)'!$N$89-'HR-AZA(P)'!$N$89</f>
        <v>#N/A</v>
      </c>
      <c r="F16" s="594" t="e">
        <f>'HR-DM (U3,U4,U5AUF)'!$AD$89-'HR-AZA(P)'!$AD$89</f>
        <v>#N/A</v>
      </c>
      <c r="G16" s="594" t="e">
        <f>'HR-DM (U3,U4,U5AUF)'!$AT$89-'HR-AZA(P)'!$AT$89</f>
        <v>#N/A</v>
      </c>
      <c r="H16" s="594" t="e">
        <f t="shared" si="1"/>
        <v>#VALUE!</v>
      </c>
    </row>
    <row r="17" spans="1:9" x14ac:dyDescent="0.25">
      <c r="A17" s="15" t="s">
        <v>274</v>
      </c>
      <c r="B17" s="594" t="e">
        <f>'HR-DM (U3,U4,U5AUF)'!$N$69-'HR-EU'!$N$69</f>
        <v>#VALUE!</v>
      </c>
      <c r="C17" s="594" t="e">
        <f>'HR-DM (U3,U4,U5AUF)'!$AD$69-'HR-EU'!$AD$69</f>
        <v>#N/A</v>
      </c>
      <c r="D17" s="594" t="e">
        <f>'HR-DM (U3,U4,U5AUF)'!$AT$69-'HR-EU'!$AT$69</f>
        <v>#N/A</v>
      </c>
      <c r="E17" s="594" t="e">
        <f>'HR-DM (U3,U4,U5AUF)'!$N$89-'HR-EU'!$N$89</f>
        <v>#N/A</v>
      </c>
      <c r="F17" s="594" t="e">
        <f>'HR-DM (U3,U4,U5AUF)'!$AD$89-'HR-EU'!$AD$89</f>
        <v>#N/A</v>
      </c>
      <c r="G17" s="594" t="e">
        <f>'HR-DM (U3,U4,U5AUF)'!$AT$89-'HR-EU'!$AT$89</f>
        <v>#N/A</v>
      </c>
      <c r="H17" s="594" t="e">
        <f t="shared" si="1"/>
        <v>#VALUE!</v>
      </c>
    </row>
    <row r="18" spans="1:9" s="15" customFormat="1" x14ac:dyDescent="0.25">
      <c r="B18" s="594"/>
      <c r="C18" s="594"/>
      <c r="D18" s="594"/>
      <c r="E18" s="594"/>
      <c r="F18" s="594"/>
      <c r="G18" s="594"/>
      <c r="H18" s="594"/>
    </row>
    <row r="19" spans="1:9" s="15" customFormat="1" x14ac:dyDescent="0.25">
      <c r="A19" s="2" t="s">
        <v>286</v>
      </c>
    </row>
    <row r="20" spans="1:9" s="15" customFormat="1" x14ac:dyDescent="0.25">
      <c r="A20" s="393"/>
    </row>
    <row r="21" spans="1:9" s="15" customFormat="1" x14ac:dyDescent="0.25">
      <c r="A21" s="393" t="s">
        <v>290</v>
      </c>
      <c r="B21" s="393" t="s">
        <v>266</v>
      </c>
      <c r="C21" s="393" t="s">
        <v>267</v>
      </c>
      <c r="D21" s="393" t="s">
        <v>268</v>
      </c>
      <c r="E21" s="393" t="s">
        <v>269</v>
      </c>
      <c r="F21" s="393" t="s">
        <v>270</v>
      </c>
      <c r="G21" s="393" t="s">
        <v>271</v>
      </c>
      <c r="H21" s="393" t="s">
        <v>11</v>
      </c>
      <c r="I21" s="393" t="s">
        <v>289</v>
      </c>
    </row>
    <row r="22" spans="1:9" s="15" customFormat="1" x14ac:dyDescent="0.25">
      <c r="A22" s="15" t="s">
        <v>272</v>
      </c>
      <c r="B22" s="594" t="e">
        <f>'HR-DM (U3,U4,U5AUF)'!$I$69-'HR-LM (U2,U5FOD,U7)'!$I$69</f>
        <v>#VALUE!</v>
      </c>
      <c r="C22" s="594">
        <f>'HR-DM (U3,U4,U5AUF)'!$Y$69-'HR-LM (U2,U5FOD,U7)'!$Y$69</f>
        <v>0</v>
      </c>
      <c r="D22" s="594">
        <f>'HR-DM (U3,U4,U5AUF)'!$AO$69-'HR-LM (U2,U5FOD,U7)'!$AO$69</f>
        <v>0</v>
      </c>
      <c r="E22" s="594">
        <f>'HR-DM (U3,U4,U5AUF)'!$I$89-'HR-LM (U2,U5FOD,U7)'!$I$89</f>
        <v>0</v>
      </c>
      <c r="F22" s="594">
        <f>'HR-DM (U3,U4,U5AUF)'!$Y$89-'HR-LM (U2,U5FOD,U7)'!$Y$89</f>
        <v>0</v>
      </c>
      <c r="G22" s="594">
        <f>'HR-DM (U3,U4,U5AUF)'!$AO$89-'HR-LM (U2,U5FOD,U7)'!$AO$89</f>
        <v>0</v>
      </c>
      <c r="H22" s="594" t="e">
        <f t="shared" ref="H22:H24" si="2">SUM(B22:G22)</f>
        <v>#VALUE!</v>
      </c>
    </row>
    <row r="23" spans="1:9" x14ac:dyDescent="0.25">
      <c r="A23" s="15" t="s">
        <v>273</v>
      </c>
      <c r="B23" s="594" t="e">
        <f>'HR-DM (U3,U4,U5AUF)'!$I$69-'HR-AZA(P)'!$I$69</f>
        <v>#VALUE!</v>
      </c>
      <c r="C23" s="594">
        <f>'HR-DM (U3,U4,U5AUF)'!$Y$69-'HR-AZA(P)'!$Y$69</f>
        <v>0</v>
      </c>
      <c r="D23" s="594">
        <f>'HR-DM (U3,U4,U5AUF)'!$AO$69-'HR-AZA(P)'!$AO$69</f>
        <v>0</v>
      </c>
      <c r="E23" s="594">
        <f>'HR-DM (U3,U4,U5AUF)'!$I$89-'HR-AZA(P)'!$I$89</f>
        <v>0</v>
      </c>
      <c r="F23" s="594">
        <f>'HR-DM (U3,U4,U5AUF)'!$Y$89-'HR-AZA(P)'!$Y$89</f>
        <v>0</v>
      </c>
      <c r="G23" s="594">
        <f>'HR-DM (U3,U4,U5AUF)'!$AO$89-'HR-AZA(P)'!$AO$89</f>
        <v>0</v>
      </c>
      <c r="H23" s="594" t="e">
        <f t="shared" si="2"/>
        <v>#VALUE!</v>
      </c>
      <c r="I23" s="15"/>
    </row>
    <row r="24" spans="1:9" s="15" customFormat="1" x14ac:dyDescent="0.25">
      <c r="A24" s="15" t="s">
        <v>274</v>
      </c>
      <c r="B24" s="594" t="e">
        <f>'HR-DM (U3,U4,U5AUF)'!$I$69-'HR-EU'!$I$69</f>
        <v>#VALUE!</v>
      </c>
      <c r="C24" s="594">
        <f>'HR-DM (U3,U4,U5AUF)'!$Y$69-'HR-EU'!$Y$69</f>
        <v>0</v>
      </c>
      <c r="D24" s="594">
        <f>'HR-DM (U3,U4,U5AUF)'!$AO$69-'HR-EU'!$AO$69</f>
        <v>0</v>
      </c>
      <c r="E24" s="594">
        <f>'HR-DM (U3,U4,U5AUF)'!$I$89-'HR-EU'!$I$89</f>
        <v>0</v>
      </c>
      <c r="F24" s="594">
        <f>'HR-DM (U3,U4,U5AUF)'!$Y$89-'HR-EU'!$Y$89</f>
        <v>0</v>
      </c>
      <c r="G24" s="594">
        <f>'HR-DM (U3,U4,U5AUF)'!$AO$89-'HR-EU'!$AO$89</f>
        <v>0</v>
      </c>
      <c r="H24" s="594" t="e">
        <f t="shared" si="2"/>
        <v>#VALUE!</v>
      </c>
    </row>
    <row r="25" spans="1:9" s="15" customFormat="1" x14ac:dyDescent="0.25">
      <c r="A25" s="393"/>
    </row>
    <row r="26" spans="1:9" s="15" customFormat="1" x14ac:dyDescent="0.25">
      <c r="A26" s="2" t="s">
        <v>300</v>
      </c>
    </row>
    <row r="27" spans="1:9" s="15" customFormat="1" x14ac:dyDescent="0.25">
      <c r="A27" s="393"/>
    </row>
    <row r="28" spans="1:9" s="15" customFormat="1" x14ac:dyDescent="0.25">
      <c r="A28" s="393" t="s">
        <v>290</v>
      </c>
      <c r="B28" s="393" t="s">
        <v>266</v>
      </c>
      <c r="C28" s="393" t="s">
        <v>267</v>
      </c>
      <c r="D28" s="393" t="s">
        <v>268</v>
      </c>
      <c r="E28" s="393" t="s">
        <v>269</v>
      </c>
      <c r="F28" s="393" t="s">
        <v>270</v>
      </c>
      <c r="G28" s="393" t="s">
        <v>271</v>
      </c>
      <c r="H28" s="393" t="s">
        <v>11</v>
      </c>
      <c r="I28" s="393" t="s">
        <v>289</v>
      </c>
    </row>
    <row r="29" spans="1:9" s="15" customFormat="1" x14ac:dyDescent="0.25">
      <c r="A29" s="15" t="s">
        <v>272</v>
      </c>
      <c r="B29" s="594">
        <f>'HR-DM (U3,U4,U5AUF)'!$J$69-'HR-LM (U2,U5FOD,U7)'!$J$69</f>
        <v>0</v>
      </c>
      <c r="C29" s="594">
        <f>'HR-DM (U3,U4,U5AUF)'!$Z$69-'HR-LM (U2,U5FOD,U7)'!$Z$69</f>
        <v>0</v>
      </c>
      <c r="D29" s="594">
        <f>'HR-DM (U3,U4,U5AUF)'!$AP$69-'HR-LM (U2,U5FOD,U7)'!$AP$69</f>
        <v>0</v>
      </c>
      <c r="E29" s="594">
        <f>'HR-DM (U3,U4,U5AUF)'!$J$89-'HR-LM (U2,U5FOD,U7)'!$J$89</f>
        <v>0</v>
      </c>
      <c r="F29" s="594">
        <f>'HR-DM (U3,U4,U5AUF)'!$Z$89-'HR-LM (U2,U5FOD,U7)'!$Z$89</f>
        <v>0</v>
      </c>
      <c r="G29" s="594">
        <f>'HR-DM (U3,U4,U5AUF)'!$AP$89-'HR-LM (U2,U5FOD,U7)'!$AP$89</f>
        <v>0</v>
      </c>
      <c r="H29" s="594">
        <f t="shared" ref="H29:H31" si="3">SUM(B29:G29)</f>
        <v>0</v>
      </c>
    </row>
    <row r="30" spans="1:9" s="15" customFormat="1" x14ac:dyDescent="0.25">
      <c r="A30" s="15" t="s">
        <v>273</v>
      </c>
      <c r="B30" s="594" t="e">
        <f>'HR-DM (U3,U4,U5AUF)'!$J$69-'HR-AZA(P)'!$J$69</f>
        <v>#VALUE!</v>
      </c>
      <c r="C30" s="594">
        <f>'HR-DM (U3,U4,U5AUF)'!$Z$69-'HR-AZA(P)'!$Z$69</f>
        <v>0</v>
      </c>
      <c r="D30" s="594">
        <f>'HR-DM (U3,U4,U5AUF)'!$AP$69-'HR-AZA(P)'!$AP$69</f>
        <v>0</v>
      </c>
      <c r="E30" s="594">
        <f>'HR-DM (U3,U4,U5AUF)'!$J$89-'HR-AZA(P)'!$J$89</f>
        <v>0</v>
      </c>
      <c r="F30" s="594">
        <f>'HR-DM (U3,U4,U5AUF)'!$Z$89-'HR-AZA(P)'!$Z$89</f>
        <v>0</v>
      </c>
      <c r="G30" s="594">
        <f>'HR-DM (U3,U4,U5AUF)'!$AP$89-'HR-AZA(P)'!$AP$89</f>
        <v>0</v>
      </c>
      <c r="H30" s="594" t="e">
        <f t="shared" si="3"/>
        <v>#VALUE!</v>
      </c>
    </row>
    <row r="31" spans="1:9" s="15" customFormat="1" x14ac:dyDescent="0.25">
      <c r="A31" s="15" t="s">
        <v>274</v>
      </c>
      <c r="B31" s="594" t="e">
        <f>'HR-DM (U3,U4,U5AUF)'!$J$69-'HR-EU'!$J$69</f>
        <v>#VALUE!</v>
      </c>
      <c r="C31" s="594">
        <f>'HR-DM (U3,U4,U5AUF)'!$Z$69-'HR-EU'!$Z$69</f>
        <v>0</v>
      </c>
      <c r="D31" s="594">
        <f>'HR-DM (U3,U4,U5AUF)'!$AP$69-'HR-EU'!$AP$69</f>
        <v>0</v>
      </c>
      <c r="E31" s="594">
        <f>'HR-DM (U3,U4,U5AUF)'!$J$89-'HR-EU'!$J$89</f>
        <v>0</v>
      </c>
      <c r="F31" s="594">
        <f>'HR-DM (U3,U4,U5AUF)'!$Z$89-'HR-EU'!$Z$89</f>
        <v>0</v>
      </c>
      <c r="G31" s="594">
        <f>'HR-DM (U3,U4,U5AUF)'!$AP$89-'HR-EU'!$AP$89</f>
        <v>0</v>
      </c>
      <c r="H31" s="594" t="e">
        <f t="shared" si="3"/>
        <v>#VALUE!</v>
      </c>
    </row>
    <row r="32" spans="1:9" s="15" customFormat="1" x14ac:dyDescent="0.25"/>
    <row r="33" spans="1:9" s="15" customFormat="1" x14ac:dyDescent="0.25"/>
    <row r="34" spans="1:9" s="15" customFormat="1" x14ac:dyDescent="0.25">
      <c r="A34" s="2" t="s">
        <v>287</v>
      </c>
    </row>
    <row r="35" spans="1:9" x14ac:dyDescent="0.25">
      <c r="B35" s="15"/>
      <c r="C35" s="15"/>
      <c r="D35" s="15"/>
      <c r="E35" s="15"/>
      <c r="F35" s="15"/>
      <c r="G35" s="15"/>
    </row>
    <row r="36" spans="1:9" x14ac:dyDescent="0.25">
      <c r="A36" s="393" t="s">
        <v>290</v>
      </c>
      <c r="B36" s="393" t="s">
        <v>266</v>
      </c>
      <c r="C36" s="393" t="s">
        <v>267</v>
      </c>
      <c r="D36" s="393" t="s">
        <v>268</v>
      </c>
      <c r="E36" s="393" t="s">
        <v>269</v>
      </c>
      <c r="F36" s="393" t="s">
        <v>270</v>
      </c>
      <c r="G36" s="393" t="s">
        <v>271</v>
      </c>
      <c r="H36" s="393" t="s">
        <v>11</v>
      </c>
      <c r="I36" s="393" t="s">
        <v>289</v>
      </c>
    </row>
    <row r="37" spans="1:9" x14ac:dyDescent="0.25">
      <c r="A37" s="15" t="s">
        <v>272</v>
      </c>
      <c r="B37" s="594" t="e">
        <f>'HR-DM (U3,U4,U5AUF)'!$K$69-'HR-LM (U2,U5FOD,U7)'!$K$69</f>
        <v>#VALUE!</v>
      </c>
      <c r="C37" s="594" t="e">
        <f>'HR-DM (U3,U4,U5AUF)'!$AA$69-'HR-LM (U2,U5FOD,U7)'!$AA$69</f>
        <v>#N/A</v>
      </c>
      <c r="D37" s="594" t="e">
        <f>'HR-DM (U3,U4,U5AUF)'!$AQ$69-'HR-LM (U2,U5FOD,U7)'!$AQ$69</f>
        <v>#N/A</v>
      </c>
      <c r="E37" s="594" t="e">
        <f>'HR-DM (U3,U4,U5AUF)'!$K$89-'HR-LM (U2,U5FOD,U7)'!$K$89</f>
        <v>#N/A</v>
      </c>
      <c r="F37" s="594" t="e">
        <f>'HR-DM (U3,U4,U5AUF)'!$AA$89-'HR-LM (U2,U5FOD,U7)'!$AA$89</f>
        <v>#N/A</v>
      </c>
      <c r="G37" s="594" t="e">
        <f>'HR-DM (U3,U4,U5AUF)'!$AQ$89-'HR-LM (U2,U5FOD,U7)'!$AQ$89</f>
        <v>#N/A</v>
      </c>
      <c r="H37" s="594" t="e">
        <f t="shared" ref="H37:H39" si="4">SUM(B37:G37)</f>
        <v>#VALUE!</v>
      </c>
    </row>
    <row r="38" spans="1:9" x14ac:dyDescent="0.25">
      <c r="A38" s="15" t="s">
        <v>273</v>
      </c>
      <c r="B38" s="594" t="e">
        <f>'HR-DM (U3,U4,U5AUF)'!$K$69-'HR-AZA(P)'!$K$69</f>
        <v>#VALUE!</v>
      </c>
      <c r="C38" s="594" t="e">
        <f>'HR-DM (U3,U4,U5AUF)'!$AA$69-'HR-AZA(P)'!$AA$69</f>
        <v>#N/A</v>
      </c>
      <c r="D38" s="594" t="e">
        <f>'HR-DM (U3,U4,U5AUF)'!$AQ$69-'HR-AZA(P)'!$AQ$69</f>
        <v>#N/A</v>
      </c>
      <c r="E38" s="594" t="e">
        <f>'HR-DM (U3,U4,U5AUF)'!$K$89-'HR-AZA(P)'!$K$89</f>
        <v>#N/A</v>
      </c>
      <c r="F38" s="594" t="e">
        <f>'HR-DM (U3,U4,U5AUF)'!$AA$89-'HR-AZA(P)'!$AA$89</f>
        <v>#N/A</v>
      </c>
      <c r="G38" s="594" t="e">
        <f>'HR-DM (U3,U4,U5AUF)'!$AQ$89-'HR-AZA(P)'!$AQ$89</f>
        <v>#N/A</v>
      </c>
      <c r="H38" s="594" t="e">
        <f t="shared" si="4"/>
        <v>#VALUE!</v>
      </c>
    </row>
    <row r="39" spans="1:9" x14ac:dyDescent="0.25">
      <c r="A39" s="15" t="s">
        <v>274</v>
      </c>
      <c r="B39" s="594" t="e">
        <f>'HR-DM (U3,U4,U5AUF)'!$K$69-'HR-EU'!$K$69</f>
        <v>#VALUE!</v>
      </c>
      <c r="C39" s="594" t="e">
        <f>'HR-DM (U3,U4,U5AUF)'!$AA$69-'HR-EU'!$AA$69</f>
        <v>#N/A</v>
      </c>
      <c r="D39" s="594" t="e">
        <f>'HR-DM (U3,U4,U5AUF)'!$AQ$69-'HR-EU'!$AQ$69</f>
        <v>#N/A</v>
      </c>
      <c r="E39" s="594" t="e">
        <f>'HR-DM (U3,U4,U5AUF)'!$K$89-'HR-EU'!$K$89</f>
        <v>#N/A</v>
      </c>
      <c r="F39" s="594" t="e">
        <f>'HR-DM (U3,U4,U5AUF)'!$AA$89-'HR-EU'!$AA$89</f>
        <v>#N/A</v>
      </c>
      <c r="G39" s="594" t="e">
        <f>'HR-DM (U3,U4,U5AUF)'!$AQ$89-'HR-EU'!$AQ$89</f>
        <v>#N/A</v>
      </c>
      <c r="H39" s="594" t="e">
        <f t="shared" si="4"/>
        <v>#VALUE!</v>
      </c>
    </row>
    <row r="41" spans="1:9" s="15" customFormat="1" x14ac:dyDescent="0.25"/>
    <row r="42" spans="1:9" x14ac:dyDescent="0.25">
      <c r="A42" s="2" t="s">
        <v>288</v>
      </c>
      <c r="B42" s="15"/>
      <c r="C42" s="15"/>
      <c r="D42" s="15"/>
      <c r="E42" s="15"/>
      <c r="F42" s="15"/>
      <c r="G42" s="15"/>
    </row>
    <row r="43" spans="1:9" s="15" customFormat="1" x14ac:dyDescent="0.25">
      <c r="A43" s="2"/>
    </row>
    <row r="44" spans="1:9" ht="12.6" customHeight="1" x14ac:dyDescent="0.25">
      <c r="A44" s="393" t="s">
        <v>290</v>
      </c>
      <c r="B44" s="393" t="s">
        <v>266</v>
      </c>
      <c r="C44" s="393" t="s">
        <v>267</v>
      </c>
      <c r="D44" s="393" t="s">
        <v>268</v>
      </c>
      <c r="E44" s="393" t="s">
        <v>269</v>
      </c>
      <c r="F44" s="393" t="s">
        <v>270</v>
      </c>
      <c r="G44" s="393" t="s">
        <v>271</v>
      </c>
      <c r="H44" s="393" t="s">
        <v>11</v>
      </c>
      <c r="I44" s="393" t="s">
        <v>289</v>
      </c>
    </row>
    <row r="45" spans="1:9" x14ac:dyDescent="0.25">
      <c r="A45" s="15" t="s">
        <v>272</v>
      </c>
      <c r="B45" s="594" t="e">
        <f>'HR-DM (U3,U4,U5AUF)'!$L$69-'HR-LM (U2,U5FOD,U7)'!$L$69</f>
        <v>#N/A</v>
      </c>
      <c r="C45" s="594" t="e">
        <f>'HR-DM (U3,U4,U5AUF)'!$AB$69-'HR-LM (U2,U5FOD,U7)'!$AB$69</f>
        <v>#N/A</v>
      </c>
      <c r="D45" s="594" t="e">
        <f>'HR-DM (U3,U4,U5AUF)'!$AR$69-'HR-LM (U2,U5FOD,U7)'!$AR$69</f>
        <v>#N/A</v>
      </c>
      <c r="E45" s="594" t="e">
        <f>'HR-DM (U3,U4,U5AUF)'!$L$89-'HR-LM (U2,U5FOD,U7)'!$L$89</f>
        <v>#N/A</v>
      </c>
      <c r="F45" s="594" t="e">
        <f>'HR-DM (U3,U4,U5AUF)'!$AB$89-'HR-LM (U2,U5FOD,U7)'!$AB$89</f>
        <v>#N/A</v>
      </c>
      <c r="G45" s="594" t="e">
        <f>'HR-DM (U3,U4,U5AUF)'!$AR$89-'HR-LM (U2,U5FOD,U7)'!$AR$89</f>
        <v>#N/A</v>
      </c>
      <c r="H45" s="594" t="e">
        <f t="shared" ref="H45:H47" si="5">SUM(B45:G45)</f>
        <v>#N/A</v>
      </c>
    </row>
    <row r="46" spans="1:9" x14ac:dyDescent="0.25">
      <c r="A46" s="15" t="s">
        <v>273</v>
      </c>
      <c r="B46" s="594" t="e">
        <f>'HR-DM (U3,U4,U5AUF)'!$L$69-'HR-AZA(P)'!$L$69</f>
        <v>#N/A</v>
      </c>
      <c r="C46" s="594" t="e">
        <f>'HR-DM (U3,U4,U5AUF)'!$AB$69-'HR-AZA(P)'!$AB$69</f>
        <v>#N/A</v>
      </c>
      <c r="D46" s="594" t="e">
        <f>'HR-DM (U3,U4,U5AUF)'!$AR$69-'HR-AZA(P)'!$AR$69</f>
        <v>#N/A</v>
      </c>
      <c r="E46" s="594" t="e">
        <f>'HR-DM (U3,U4,U5AUF)'!$L$89-'HR-AZA(P)'!$L$89</f>
        <v>#N/A</v>
      </c>
      <c r="F46" s="594" t="e">
        <f>'HR-DM (U3,U4,U5AUF)'!$AB$89-'HR-AZA(P)'!$AB$89</f>
        <v>#N/A</v>
      </c>
      <c r="G46" s="594" t="e">
        <f>'HR-DM (U3,U4,U5AUF)'!$AR$89-'HR-AZA(P)'!$AR$89</f>
        <v>#N/A</v>
      </c>
      <c r="H46" s="594" t="e">
        <f t="shared" si="5"/>
        <v>#N/A</v>
      </c>
    </row>
    <row r="47" spans="1:9" x14ac:dyDescent="0.25">
      <c r="A47" s="15" t="s">
        <v>274</v>
      </c>
      <c r="B47" s="594" t="e">
        <f>'HR-DM (U3,U4,U5AUF)'!$L$69-'HR-EU'!$L$69</f>
        <v>#N/A</v>
      </c>
      <c r="C47" s="594" t="e">
        <f>'HR-DM (U3,U4,U5AUF)'!$AB$69-'HR-EU'!$AB$69</f>
        <v>#N/A</v>
      </c>
      <c r="D47" s="594" t="e">
        <f>'HR-DM (U3,U4,U5AUF)'!$AR$69-'HR-EU'!$AR$69</f>
        <v>#N/A</v>
      </c>
      <c r="E47" s="594" t="e">
        <f>'HR-DM (U3,U4,U5AUF)'!$L$89-'HR-EU'!$L$89</f>
        <v>#N/A</v>
      </c>
      <c r="F47" s="594" t="e">
        <f>'HR-DM (U3,U4,U5AUF)'!$AB$89-'HR-EU'!$AB$89</f>
        <v>#N/A</v>
      </c>
      <c r="G47" s="594" t="e">
        <f>'HR-DM (U3,U4,U5AUF)'!$AR$89-'HR-EU'!$AR$89</f>
        <v>#N/A</v>
      </c>
      <c r="H47" s="594" t="e">
        <f t="shared" si="5"/>
        <v>#N/A</v>
      </c>
    </row>
    <row r="50" spans="1:9" x14ac:dyDescent="0.25">
      <c r="A50" s="2" t="s">
        <v>291</v>
      </c>
      <c r="B50" s="15"/>
      <c r="C50" s="15"/>
      <c r="D50" s="15"/>
      <c r="E50" s="15"/>
      <c r="F50" s="15"/>
      <c r="G50" s="15"/>
      <c r="I50" s="15"/>
    </row>
    <row r="51" spans="1:9" x14ac:dyDescent="0.25">
      <c r="B51" s="15"/>
      <c r="C51" s="15"/>
      <c r="D51" s="15"/>
      <c r="E51" s="15"/>
      <c r="F51" s="15"/>
      <c r="G51" s="15"/>
      <c r="I51" s="15"/>
    </row>
    <row r="52" spans="1:9" x14ac:dyDescent="0.25">
      <c r="A52" s="393" t="s">
        <v>290</v>
      </c>
      <c r="B52" s="393" t="s">
        <v>266</v>
      </c>
      <c r="C52" s="393" t="s">
        <v>267</v>
      </c>
      <c r="D52" s="393" t="s">
        <v>268</v>
      </c>
      <c r="E52" s="393" t="s">
        <v>269</v>
      </c>
      <c r="F52" s="393" t="s">
        <v>270</v>
      </c>
      <c r="G52" s="393" t="s">
        <v>271</v>
      </c>
      <c r="H52" s="393"/>
      <c r="I52" s="393" t="s">
        <v>289</v>
      </c>
    </row>
    <row r="53" spans="1:9" x14ac:dyDescent="0.25">
      <c r="A53" s="15" t="s">
        <v>272</v>
      </c>
      <c r="B53" s="594" t="e">
        <f>'HR-DM (U3,U4,U5AUF)'!$M$69-'HR-LM (U2,U5FOD,U7)'!$M$69</f>
        <v>#VALUE!</v>
      </c>
      <c r="C53" s="594">
        <f>'HR-DM (U3,U4,U5AUF)'!$AC$69-'HR-LM (U2,U5FOD,U7)'!$AC$69</f>
        <v>0</v>
      </c>
      <c r="D53" s="594">
        <f>'HR-DM (U3,U4,U5AUF)'!$AS$69-'HR-LM (U2,U5FOD,U7)'!$AS$69</f>
        <v>0</v>
      </c>
      <c r="E53" s="594">
        <f>'HR-DM (U3,U4,U5AUF)'!$M$89-'HR-LM (U2,U5FOD,U7)'!$M$89</f>
        <v>0</v>
      </c>
      <c r="F53" s="594">
        <f>'HR-DM (U3,U4,U5AUF)'!$AC$89-'HR-LM (U2,U5FOD,U7)'!$AC$89</f>
        <v>0</v>
      </c>
      <c r="G53" s="594">
        <f>'HR-DM (U3,U4,U5AUF)'!$AS$89-'HR-LM (U2,U5FOD,U7)'!$AS$89</f>
        <v>0</v>
      </c>
      <c r="H53" s="594" t="e">
        <f t="shared" ref="H53:H55" si="6">SUM(B53:G53)</f>
        <v>#VALUE!</v>
      </c>
      <c r="I53" s="15"/>
    </row>
    <row r="54" spans="1:9" x14ac:dyDescent="0.25">
      <c r="A54" s="15" t="s">
        <v>273</v>
      </c>
      <c r="B54" s="594" t="e">
        <f>'HR-DM (U3,U4,U5AUF)'!$M$69-'HR-AZA(P)'!$M$69</f>
        <v>#VALUE!</v>
      </c>
      <c r="C54" s="594">
        <f>'HR-DM (U3,U4,U5AUF)'!$AC$69-'HR-AZA(P)'!$AC$69</f>
        <v>0</v>
      </c>
      <c r="D54" s="594">
        <f>'HR-DM (U3,U4,U5AUF)'!$AS$69-'HR-AZA(P)'!$AS$69</f>
        <v>0</v>
      </c>
      <c r="E54" s="594">
        <f>'HR-DM (U3,U4,U5AUF)'!$M$89-'HR-AZA(P)'!$M$89</f>
        <v>0</v>
      </c>
      <c r="F54" s="594">
        <f>'HR-DM (U3,U4,U5AUF)'!$AC$89-'HR-AZA(P)'!$AC$89</f>
        <v>0</v>
      </c>
      <c r="G54" s="594">
        <f>'HR-DM (U3,U4,U5AUF)'!$G$89-'HR-AZA(P)'!$G$89</f>
        <v>0</v>
      </c>
      <c r="H54" s="594" t="e">
        <f t="shared" si="6"/>
        <v>#VALUE!</v>
      </c>
      <c r="I54" s="15"/>
    </row>
    <row r="55" spans="1:9" x14ac:dyDescent="0.25">
      <c r="A55" s="15" t="s">
        <v>274</v>
      </c>
      <c r="B55" s="594" t="e">
        <f>'HR-DM (U3,U4,U5AUF)'!$M$69-'HR-EU'!$M$69</f>
        <v>#VALUE!</v>
      </c>
      <c r="C55" s="594">
        <f>'HR-DM (U3,U4,U5AUF)'!$AC$69-'HR-EU'!$AC$69</f>
        <v>0</v>
      </c>
      <c r="D55" s="594">
        <f>'HR-DM (U3,U4,U5AUF)'!$AS$69-'HR-EU'!$AS$69</f>
        <v>0</v>
      </c>
      <c r="E55" s="594">
        <f>'HR-DM (U3,U4,U5AUF)'!$M$89-'HR-EU'!$M$89</f>
        <v>0</v>
      </c>
      <c r="F55" s="594">
        <f>'HR-DM (U3,U4,U5AUF)'!$AC$89-'HR-EU'!$AC$89</f>
        <v>0</v>
      </c>
      <c r="G55" s="594">
        <f>'HR-DM (U3,U4,U5AUF)'!$AS$89-'HR-EU'!$AS$89</f>
        <v>0</v>
      </c>
      <c r="H55" s="594" t="e">
        <f t="shared" si="6"/>
        <v>#VALUE!</v>
      </c>
      <c r="I55" s="15"/>
    </row>
  </sheetData>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tabColor theme="1" tint="4.9989318521683403E-2"/>
  </sheetPr>
  <dimension ref="A1:S60"/>
  <sheetViews>
    <sheetView showGridLines="0" workbookViewId="0">
      <selection activeCell="G7" sqref="G7"/>
    </sheetView>
  </sheetViews>
  <sheetFormatPr baseColWidth="10" defaultRowHeight="15" x14ac:dyDescent="0.25"/>
  <cols>
    <col min="1" max="1" width="3.140625" customWidth="1"/>
    <col min="2" max="2" width="3.7109375" customWidth="1"/>
    <col min="3" max="3" width="28.42578125" customWidth="1"/>
    <col min="4" max="4" width="39.42578125" bestFit="1" customWidth="1"/>
    <col min="5" max="6" width="4.5703125" customWidth="1"/>
    <col min="7" max="7" width="25.7109375" customWidth="1"/>
    <col min="8" max="8" width="24.28515625" bestFit="1" customWidth="1"/>
  </cols>
  <sheetData>
    <row r="1" spans="1:19" x14ac:dyDescent="0.25">
      <c r="B1" s="9"/>
    </row>
    <row r="2" spans="1:19" ht="23.25" x14ac:dyDescent="0.35">
      <c r="A2" s="501"/>
      <c r="B2" s="501"/>
      <c r="C2" s="8" t="s">
        <v>223</v>
      </c>
      <c r="D2" s="8" t="s">
        <v>67</v>
      </c>
      <c r="E2" s="499"/>
      <c r="F2" s="499"/>
      <c r="G2" s="11" t="s">
        <v>3</v>
      </c>
      <c r="H2" s="11" t="s">
        <v>88</v>
      </c>
    </row>
    <row r="3" spans="1:19" ht="30" customHeight="1" x14ac:dyDescent="0.35">
      <c r="A3" s="10"/>
      <c r="B3" s="502"/>
      <c r="C3" s="7" t="s">
        <v>225</v>
      </c>
      <c r="D3" s="7" t="s">
        <v>74</v>
      </c>
      <c r="E3" s="500"/>
      <c r="F3" s="500"/>
      <c r="G3" s="7" t="s">
        <v>225</v>
      </c>
      <c r="H3" s="7" t="s">
        <v>225</v>
      </c>
    </row>
    <row r="4" spans="1:19" ht="23.25" x14ac:dyDescent="0.35">
      <c r="A4" s="10"/>
      <c r="B4" s="502"/>
      <c r="C4" s="7" t="s">
        <v>226</v>
      </c>
      <c r="D4" s="7" t="s">
        <v>152</v>
      </c>
      <c r="E4" s="500"/>
      <c r="F4" s="500"/>
      <c r="G4" s="12" t="s">
        <v>246</v>
      </c>
      <c r="H4" s="12">
        <v>1</v>
      </c>
    </row>
    <row r="5" spans="1:19" ht="23.25" x14ac:dyDescent="0.35">
      <c r="A5" s="10"/>
      <c r="B5" s="502"/>
      <c r="C5" s="7" t="s">
        <v>224</v>
      </c>
      <c r="D5" s="7" t="s">
        <v>73</v>
      </c>
      <c r="E5" s="500"/>
      <c r="F5" s="500"/>
      <c r="G5" s="12">
        <v>15</v>
      </c>
      <c r="H5" s="12">
        <v>2</v>
      </c>
    </row>
    <row r="6" spans="1:19" ht="23.25" x14ac:dyDescent="0.35">
      <c r="A6" s="10"/>
      <c r="B6" s="500"/>
      <c r="D6" s="7" t="s">
        <v>75</v>
      </c>
      <c r="E6" s="500"/>
      <c r="F6" s="500"/>
      <c r="G6" s="12">
        <v>14</v>
      </c>
      <c r="H6" s="12">
        <v>3</v>
      </c>
    </row>
    <row r="7" spans="1:19" ht="23.25" x14ac:dyDescent="0.35">
      <c r="B7" s="500"/>
      <c r="D7" s="7" t="s">
        <v>225</v>
      </c>
      <c r="E7" s="500"/>
      <c r="F7" s="500"/>
      <c r="G7" s="12" t="s">
        <v>247</v>
      </c>
      <c r="H7" s="12">
        <v>4</v>
      </c>
    </row>
    <row r="8" spans="1:19" ht="23.25" x14ac:dyDescent="0.25">
      <c r="B8" s="500"/>
      <c r="E8" s="500"/>
      <c r="F8" s="500"/>
      <c r="G8" s="12">
        <v>13</v>
      </c>
      <c r="H8" s="12">
        <v>5</v>
      </c>
    </row>
    <row r="9" spans="1:19" ht="23.25" x14ac:dyDescent="0.25">
      <c r="B9" s="500"/>
      <c r="E9" s="500"/>
      <c r="F9" s="500"/>
      <c r="G9" s="12">
        <v>12</v>
      </c>
      <c r="H9" s="12">
        <v>6</v>
      </c>
    </row>
    <row r="10" spans="1:19" ht="23.25" x14ac:dyDescent="0.25">
      <c r="B10" s="500"/>
      <c r="C10" s="9"/>
      <c r="D10" s="9"/>
      <c r="E10" s="500"/>
      <c r="F10" s="500"/>
      <c r="G10" s="12">
        <v>11</v>
      </c>
      <c r="H10" s="9"/>
      <c r="I10" s="9"/>
    </row>
    <row r="11" spans="1:19" ht="23.25" x14ac:dyDescent="0.35">
      <c r="A11" s="15"/>
      <c r="B11" s="9"/>
      <c r="C11" s="9"/>
      <c r="D11" s="10"/>
      <c r="E11" s="500"/>
      <c r="F11" s="9"/>
      <c r="G11" s="12">
        <v>10</v>
      </c>
      <c r="H11" s="9"/>
      <c r="I11" s="9"/>
    </row>
    <row r="12" spans="1:19" ht="23.25" x14ac:dyDescent="0.35">
      <c r="A12" s="15"/>
      <c r="B12" s="15"/>
      <c r="C12" s="9"/>
      <c r="D12" s="10"/>
      <c r="E12" s="500"/>
      <c r="F12" s="9"/>
      <c r="G12" s="12" t="s">
        <v>244</v>
      </c>
      <c r="H12" s="9"/>
      <c r="I12" s="9"/>
    </row>
    <row r="13" spans="1:19" ht="23.25" x14ac:dyDescent="0.25">
      <c r="A13" s="15"/>
      <c r="B13" s="15"/>
      <c r="C13" s="9"/>
      <c r="D13" s="9"/>
      <c r="E13" s="500"/>
      <c r="F13" s="9"/>
      <c r="G13" s="12" t="s">
        <v>245</v>
      </c>
      <c r="H13" s="9"/>
      <c r="I13" s="9"/>
    </row>
    <row r="14" spans="1:19" ht="23.25" x14ac:dyDescent="0.25">
      <c r="A14" s="15"/>
      <c r="B14" s="15"/>
      <c r="E14" s="500"/>
      <c r="F14" s="9"/>
      <c r="G14" s="12">
        <v>8</v>
      </c>
      <c r="H14" s="9"/>
      <c r="I14" s="9"/>
      <c r="M14" s="40"/>
      <c r="R14" s="40"/>
      <c r="S14" s="40"/>
    </row>
    <row r="15" spans="1:19" ht="23.25" x14ac:dyDescent="0.25">
      <c r="A15" s="15"/>
      <c r="B15" s="15"/>
      <c r="E15" s="500"/>
      <c r="F15" s="9"/>
      <c r="G15" s="12">
        <v>7</v>
      </c>
      <c r="H15" s="9"/>
      <c r="I15" s="9"/>
    </row>
    <row r="16" spans="1:19" ht="23.25" x14ac:dyDescent="0.25">
      <c r="A16" s="15"/>
      <c r="B16" s="15"/>
      <c r="E16" s="500"/>
      <c r="F16" s="9"/>
      <c r="G16" s="12">
        <v>6</v>
      </c>
      <c r="H16" s="9"/>
      <c r="I16" s="9"/>
    </row>
    <row r="17" spans="1:9" ht="23.25" x14ac:dyDescent="0.25">
      <c r="A17" s="15"/>
      <c r="B17" s="15"/>
      <c r="E17" s="500"/>
      <c r="F17" s="9"/>
      <c r="G17" s="12">
        <v>5</v>
      </c>
      <c r="H17" s="9"/>
      <c r="I17" s="9"/>
    </row>
    <row r="18" spans="1:9" ht="31.5" customHeight="1" x14ac:dyDescent="0.25">
      <c r="A18" s="15"/>
      <c r="B18" s="15"/>
      <c r="D18" s="9"/>
      <c r="E18" s="9"/>
      <c r="F18" s="9"/>
      <c r="G18" s="12">
        <v>4</v>
      </c>
      <c r="H18" s="9"/>
      <c r="I18" s="9"/>
    </row>
    <row r="19" spans="1:9" ht="31.5" customHeight="1" x14ac:dyDescent="0.25">
      <c r="A19" s="15"/>
      <c r="B19" s="15"/>
      <c r="E19" s="9"/>
      <c r="F19" s="9"/>
      <c r="G19" s="12">
        <v>3</v>
      </c>
      <c r="H19" s="9"/>
      <c r="I19" s="9"/>
    </row>
    <row r="20" spans="1:9" ht="31.5" customHeight="1" x14ac:dyDescent="0.25">
      <c r="A20" s="15"/>
      <c r="B20" s="15"/>
      <c r="F20" s="9"/>
      <c r="G20" s="12" t="s">
        <v>248</v>
      </c>
      <c r="H20" s="9"/>
      <c r="I20" s="9"/>
    </row>
    <row r="21" spans="1:9" ht="31.5" customHeight="1" x14ac:dyDescent="0.35">
      <c r="A21" s="15"/>
      <c r="B21" s="15"/>
      <c r="F21" s="10"/>
      <c r="G21" s="12">
        <v>2</v>
      </c>
      <c r="H21" s="9"/>
      <c r="I21" s="9"/>
    </row>
    <row r="22" spans="1:9" ht="31.5" customHeight="1" x14ac:dyDescent="0.25">
      <c r="A22" s="15"/>
      <c r="B22" s="15"/>
      <c r="F22" s="9"/>
      <c r="G22" s="12">
        <v>1</v>
      </c>
      <c r="H22" s="9"/>
      <c r="I22" s="9"/>
    </row>
    <row r="23" spans="1:9" ht="31.5" customHeight="1" x14ac:dyDescent="0.25">
      <c r="A23" s="15"/>
      <c r="B23" s="15"/>
      <c r="F23" s="9"/>
      <c r="G23" s="9"/>
      <c r="H23" s="9"/>
      <c r="I23" s="9"/>
    </row>
    <row r="24" spans="1:9" x14ac:dyDescent="0.25">
      <c r="A24" s="15"/>
      <c r="B24" s="15"/>
      <c r="F24" s="9"/>
      <c r="G24" s="9"/>
      <c r="H24" s="9"/>
      <c r="I24" s="9"/>
    </row>
    <row r="25" spans="1:9" x14ac:dyDescent="0.25">
      <c r="A25" s="15"/>
      <c r="B25" s="15"/>
      <c r="F25" s="9"/>
      <c r="G25" s="9"/>
      <c r="H25" s="9"/>
      <c r="I25" s="9"/>
    </row>
    <row r="26" spans="1:9" x14ac:dyDescent="0.25">
      <c r="A26" s="15"/>
      <c r="B26" s="15"/>
      <c r="F26" s="9"/>
      <c r="G26" s="9"/>
      <c r="H26" s="9"/>
      <c r="I26" s="9"/>
    </row>
    <row r="27" spans="1:9" x14ac:dyDescent="0.25">
      <c r="A27" s="15"/>
      <c r="B27" s="15"/>
      <c r="F27" s="9"/>
      <c r="G27" s="9"/>
      <c r="H27" s="9"/>
      <c r="I27" s="9"/>
    </row>
    <row r="28" spans="1:9" x14ac:dyDescent="0.25">
      <c r="A28" s="15"/>
      <c r="B28" s="15"/>
      <c r="F28" s="9"/>
      <c r="G28" s="9"/>
      <c r="H28" s="9"/>
      <c r="I28" s="9"/>
    </row>
    <row r="29" spans="1:9" x14ac:dyDescent="0.25">
      <c r="F29" s="9"/>
      <c r="G29" s="9"/>
      <c r="H29" s="9"/>
      <c r="I29" s="9"/>
    </row>
    <row r="30" spans="1:9" x14ac:dyDescent="0.25">
      <c r="F30" s="9"/>
      <c r="G30" s="9"/>
      <c r="H30" s="9"/>
      <c r="I30" s="9"/>
    </row>
    <row r="49" spans="17:18" x14ac:dyDescent="0.25">
      <c r="Q49" s="15"/>
      <c r="R49" s="15"/>
    </row>
    <row r="50" spans="17:18" x14ac:dyDescent="0.25">
      <c r="Q50" s="15"/>
      <c r="R50" s="15"/>
    </row>
    <row r="51" spans="17:18" x14ac:dyDescent="0.25">
      <c r="Q51" s="15"/>
      <c r="R51" s="15"/>
    </row>
    <row r="52" spans="17:18" x14ac:dyDescent="0.25">
      <c r="Q52" s="15"/>
      <c r="R52" s="15"/>
    </row>
    <row r="53" spans="17:18" x14ac:dyDescent="0.25">
      <c r="Q53" s="15"/>
      <c r="R53" s="15"/>
    </row>
    <row r="54" spans="17:18" x14ac:dyDescent="0.25">
      <c r="Q54" s="15"/>
      <c r="R54" s="15"/>
    </row>
    <row r="55" spans="17:18" x14ac:dyDescent="0.25">
      <c r="Q55" s="15"/>
      <c r="R55" s="15"/>
    </row>
    <row r="56" spans="17:18" x14ac:dyDescent="0.25">
      <c r="Q56" s="15"/>
      <c r="R56" s="15"/>
    </row>
    <row r="57" spans="17:18" x14ac:dyDescent="0.25">
      <c r="Q57" s="15"/>
      <c r="R57" s="15"/>
    </row>
    <row r="58" spans="17:18" x14ac:dyDescent="0.25">
      <c r="Q58" s="15"/>
      <c r="R58" s="15"/>
    </row>
    <row r="59" spans="17:18" x14ac:dyDescent="0.25">
      <c r="Q59" s="15"/>
      <c r="R59" s="15"/>
    </row>
    <row r="60" spans="17:18" x14ac:dyDescent="0.25">
      <c r="Q60" s="15"/>
      <c r="R60" s="15"/>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3">
    <tabColor theme="6" tint="0.39997558519241921"/>
    <pageSetUpPr fitToPage="1"/>
  </sheetPr>
  <dimension ref="B1:L37"/>
  <sheetViews>
    <sheetView showGridLines="0" tabSelected="1" zoomScaleNormal="100" workbookViewId="0">
      <selection activeCell="E16" sqref="E16"/>
    </sheetView>
  </sheetViews>
  <sheetFormatPr baseColWidth="10" defaultColWidth="11.5703125" defaultRowHeight="15.75" x14ac:dyDescent="0.35"/>
  <cols>
    <col min="1" max="1" width="2.7109375" style="212" customWidth="1"/>
    <col min="2" max="2" width="43.42578125" style="212" customWidth="1"/>
    <col min="3" max="3" width="21" style="212" customWidth="1"/>
    <col min="4" max="5" width="20.5703125" style="212" customWidth="1"/>
    <col min="6" max="6" width="21.85546875" style="212" customWidth="1"/>
    <col min="7" max="10" width="20.5703125" style="212" customWidth="1"/>
    <col min="11" max="11" width="11.85546875" style="212" customWidth="1"/>
    <col min="12" max="12" width="20.5703125" style="212" customWidth="1"/>
    <col min="13" max="16384" width="11.5703125" style="212"/>
  </cols>
  <sheetData>
    <row r="1" spans="2:11" s="14" customFormat="1" ht="60" customHeight="1" x14ac:dyDescent="0.35">
      <c r="C1" s="583" t="str">
        <f ca="1">IF(TODAY()&gt;DATE(2028,4,1),"Achtung! Der Tarifvertrag gilt nur bis zum 31.01.2028! Ggf. ist diese Version nicht mehr aktuell","")</f>
        <v/>
      </c>
      <c r="D1" s="584"/>
      <c r="E1" s="584"/>
      <c r="F1" s="584"/>
      <c r="G1" s="584"/>
      <c r="H1" s="585"/>
      <c r="I1" s="584"/>
      <c r="J1" s="586"/>
      <c r="K1" s="213"/>
    </row>
    <row r="3" spans="2:11" ht="26.25" x14ac:dyDescent="0.5">
      <c r="B3" s="470" t="s">
        <v>243</v>
      </c>
      <c r="C3" s="467"/>
    </row>
    <row r="4" spans="2:11" x14ac:dyDescent="0.35">
      <c r="B4" s="467" t="s">
        <v>309</v>
      </c>
      <c r="C4" s="467"/>
    </row>
    <row r="5" spans="2:11" ht="10.5" customHeight="1" x14ac:dyDescent="0.35">
      <c r="C5" s="467"/>
    </row>
    <row r="6" spans="2:11" ht="16.5" thickBot="1" x14ac:dyDescent="0.4">
      <c r="B6" s="465" t="s">
        <v>228</v>
      </c>
    </row>
    <row r="7" spans="2:11" ht="19.5" customHeight="1" x14ac:dyDescent="0.35">
      <c r="B7" s="473" t="s">
        <v>118</v>
      </c>
      <c r="C7" s="639"/>
      <c r="D7" s="640"/>
      <c r="G7" s="508" t="s">
        <v>235</v>
      </c>
    </row>
    <row r="8" spans="2:11" ht="19.5" customHeight="1" thickBot="1" x14ac:dyDescent="0.4">
      <c r="B8" s="474" t="s">
        <v>65</v>
      </c>
      <c r="C8" s="644"/>
      <c r="D8" s="645"/>
      <c r="G8" s="490"/>
    </row>
    <row r="9" spans="2:11" ht="19.5" customHeight="1" thickBot="1" x14ac:dyDescent="0.4">
      <c r="B9" s="474" t="s">
        <v>222</v>
      </c>
      <c r="C9" s="627" t="s">
        <v>225</v>
      </c>
      <c r="D9" s="628"/>
    </row>
    <row r="10" spans="2:11" ht="17.25" x14ac:dyDescent="0.35">
      <c r="B10" s="629" t="s">
        <v>230</v>
      </c>
      <c r="C10" s="515" t="s">
        <v>221</v>
      </c>
      <c r="D10" s="514" t="s">
        <v>1</v>
      </c>
    </row>
    <row r="11" spans="2:11" ht="18.75" thickBot="1" x14ac:dyDescent="0.4">
      <c r="B11" s="629"/>
      <c r="C11" s="475"/>
      <c r="D11" s="476"/>
    </row>
    <row r="12" spans="2:11" ht="19.5" customHeight="1" thickBot="1" x14ac:dyDescent="0.4">
      <c r="B12" s="474" t="s">
        <v>105</v>
      </c>
      <c r="C12" s="627" t="s">
        <v>225</v>
      </c>
      <c r="D12" s="628"/>
    </row>
    <row r="13" spans="2:11" ht="19.5" customHeight="1" thickBot="1" x14ac:dyDescent="0.4">
      <c r="B13" s="474" t="s">
        <v>91</v>
      </c>
      <c r="C13" s="627" t="s">
        <v>225</v>
      </c>
      <c r="D13" s="641"/>
    </row>
    <row r="14" spans="2:11" ht="19.5" customHeight="1" thickBot="1" x14ac:dyDescent="0.4">
      <c r="B14" s="474" t="s">
        <v>232</v>
      </c>
      <c r="C14" s="632" t="e">
        <f>IF(C13=6,DATE(9999,12,1),DATE(YEAR(C11)+C13,MONTH(C11),1))</f>
        <v>#VALUE!</v>
      </c>
      <c r="D14" s="633"/>
    </row>
    <row r="15" spans="2:11" ht="19.5" customHeight="1" thickBot="1" x14ac:dyDescent="0.4">
      <c r="B15" s="614" t="s">
        <v>297</v>
      </c>
      <c r="C15" s="630" t="str">
        <f>IF('HR-DM (U3,U4,U5AUF)'!$X$9=TRUE,"Ja","Nein")</f>
        <v>Ja</v>
      </c>
      <c r="D15" s="631"/>
    </row>
    <row r="16" spans="2:11" ht="19.5" customHeight="1" thickBot="1" x14ac:dyDescent="0.4">
      <c r="B16" s="474" t="s">
        <v>233</v>
      </c>
      <c r="C16" s="630" t="str">
        <f>IF('HR-DM (U3,U4,U5AUF)'!$X$5=TRUE,"Ja","Nein")</f>
        <v>Ja</v>
      </c>
      <c r="D16" s="631"/>
      <c r="F16" s="635" t="s">
        <v>241</v>
      </c>
      <c r="G16" s="636"/>
    </row>
    <row r="17" spans="2:12" ht="18.600000000000001" customHeight="1" thickBot="1" x14ac:dyDescent="0.4">
      <c r="B17" s="520" t="s">
        <v>238</v>
      </c>
      <c r="C17" s="623"/>
      <c r="D17" s="624"/>
      <c r="F17" s="637"/>
      <c r="G17" s="638"/>
    </row>
    <row r="18" spans="2:12" ht="19.5" customHeight="1" thickBot="1" x14ac:dyDescent="0.4">
      <c r="B18" s="474" t="s">
        <v>162</v>
      </c>
      <c r="C18" s="625"/>
      <c r="D18" s="626"/>
      <c r="F18" s="503" t="s">
        <v>242</v>
      </c>
      <c r="G18" s="505" t="s">
        <v>50</v>
      </c>
    </row>
    <row r="19" spans="2:12" ht="19.5" customHeight="1" thickBot="1" x14ac:dyDescent="0.4">
      <c r="B19" s="521" t="s">
        <v>239</v>
      </c>
      <c r="C19" s="642">
        <f>C17*39/100*C18/39*100</f>
        <v>0</v>
      </c>
      <c r="D19" s="643"/>
      <c r="F19" s="422"/>
      <c r="G19" s="582">
        <f>F19*100/39/100</f>
        <v>0</v>
      </c>
    </row>
    <row r="20" spans="2:12" ht="33.75" customHeight="1" x14ac:dyDescent="0.35">
      <c r="B20" s="634" t="s">
        <v>240</v>
      </c>
      <c r="C20" s="634"/>
      <c r="D20" s="634"/>
      <c r="E20" s="634"/>
      <c r="F20" s="634"/>
      <c r="G20" s="634"/>
    </row>
    <row r="21" spans="2:12" x14ac:dyDescent="0.35">
      <c r="B21" s="634" t="s">
        <v>304</v>
      </c>
      <c r="C21" s="634"/>
      <c r="D21" s="634"/>
      <c r="E21" s="634"/>
      <c r="F21" s="634"/>
      <c r="G21" s="634"/>
    </row>
    <row r="22" spans="2:12" ht="17.45" customHeight="1" x14ac:dyDescent="0.35">
      <c r="B22" s="602"/>
      <c r="C22" s="596"/>
      <c r="D22" s="596"/>
      <c r="E22" s="596"/>
      <c r="F22" s="596"/>
      <c r="G22" s="596"/>
    </row>
    <row r="23" spans="2:12" ht="16.5" thickBot="1" x14ac:dyDescent="0.4">
      <c r="B23" s="622"/>
      <c r="C23" s="622"/>
      <c r="D23" s="622"/>
      <c r="E23" s="622"/>
      <c r="F23" s="622"/>
      <c r="G23" s="622"/>
    </row>
    <row r="24" spans="2:12" s="14" customFormat="1" ht="29.45" customHeight="1" thickBot="1" x14ac:dyDescent="0.4">
      <c r="B24" s="478" t="s">
        <v>58</v>
      </c>
      <c r="C24" s="479" t="s">
        <v>59</v>
      </c>
      <c r="D24" s="480" t="s">
        <v>96</v>
      </c>
      <c r="E24" s="481" t="s">
        <v>298</v>
      </c>
      <c r="F24" s="482" t="s">
        <v>97</v>
      </c>
      <c r="G24" s="482" t="s">
        <v>93</v>
      </c>
      <c r="H24" s="482" t="s">
        <v>94</v>
      </c>
      <c r="I24" s="483" t="s">
        <v>95</v>
      </c>
      <c r="J24" s="516" t="s">
        <v>11</v>
      </c>
      <c r="K24" s="484" t="s">
        <v>90</v>
      </c>
      <c r="L24" s="519" t="s">
        <v>11</v>
      </c>
    </row>
    <row r="25" spans="2:12" ht="24" customHeight="1" x14ac:dyDescent="0.35">
      <c r="B25" s="485" t="str">
        <f>IF(C9="Drittmittel",'HR-DM (U3,U4,U5AUF)'!J20,IF(C9="Landesmittel",'HR-LM (U2,U5FOD,U7)'!J20,"1900"))</f>
        <v>1900</v>
      </c>
      <c r="C25" s="524" t="str">
        <f>IF($C$9="Drittmittel",'HR-DM (U3,U4,U5AUF)'!$G$55,IF($C$9="Landesmittel",'HR-LM (U2,U5FOD,U7)'!$G$55,"0"))</f>
        <v>0</v>
      </c>
      <c r="D25" s="525" t="str">
        <f>IF($C$9="Drittmittel",'HR-DM (U3,U4,U5AUF)'!$G$69,IF($C$9="Landesmittel",'HR-LM (U2,U5FOD,U7)'!$G$69,"0"))</f>
        <v>0</v>
      </c>
      <c r="E25" s="526" t="str">
        <f>IF($C$9="Drittmittel",'HR-DM (U3,U4,U5AUF)'!$I$69,IF($C$9="Landesmittel",'HR-LM (U2,U5FOD,U7)'!$I$69,"0"))</f>
        <v>0</v>
      </c>
      <c r="F25" s="526" t="str">
        <f>IF($C$9="Drittmittel",'HR-DM (U3,U4,U5AUF)'!$J$69,IF($C$9="Landesmittel",'HR-LM (U2,U5FOD,U7)'!$J$69,"0"))</f>
        <v>0</v>
      </c>
      <c r="G25" s="526" t="str">
        <f>IF($C$9="Drittmittel",'HR-DM (U3,U4,U5AUF)'!$K$69,IF($C$9="Landesmittel",'HR-LM (U2,U5FOD,U7)'!$K$69,"0"))</f>
        <v>0</v>
      </c>
      <c r="H25" s="526" t="str">
        <f>IF($C$9="Drittmittel",'HR-DM (U3,U4,U5AUF)'!$L$69,IF($C$9="Landesmittel",'HR-LM (U2,U5FOD,U7)'!$L$69,"0"))</f>
        <v>0</v>
      </c>
      <c r="I25" s="527" t="str">
        <f>IF($C$9="Drittmittel",'HR-DM (U3,U4,U5AUF)'!$M$69,IF($C$9="Landesmittel",'HR-LM (U2,U5FOD,U7)'!$M$69,"0"))</f>
        <v>0</v>
      </c>
      <c r="J25" s="528">
        <f>SUM(D25:I25)</f>
        <v>0</v>
      </c>
      <c r="K25" s="529">
        <f t="shared" ref="K25:K30" si="0">IF(J25=0,0,$G$8)</f>
        <v>0</v>
      </c>
      <c r="L25" s="530">
        <f>J25*G8</f>
        <v>0</v>
      </c>
    </row>
    <row r="26" spans="2:12" ht="24" customHeight="1" x14ac:dyDescent="0.35">
      <c r="B26" s="486">
        <f>B25+1</f>
        <v>1901</v>
      </c>
      <c r="C26" s="531" t="str">
        <f>IF($C$9="Drittmittel",'HR-DM (U3,U4,U5AUF)'!$V$55,IF($C$9="Landesmittel",'HR-LM (U2,U5FOD,U7)'!$V$55,"0"))</f>
        <v>0</v>
      </c>
      <c r="D26" s="532" t="str">
        <f>IF($C$9="Drittmittel",'HR-DM (U3,U4,U5AUF)'!$V$69,IF($C$9="Landesmittel",'HR-LM (U2,U5FOD,U7)'!$V$69,"0"))</f>
        <v>0</v>
      </c>
      <c r="E26" s="533" t="str">
        <f>IF($C$9="Drittmittel",'HR-DM (U3,U4,U5AUF)'!$Y$69,IF($C$9="Landesmittel",'HR-LM (U2,U5FOD,U7)'!$Y$69,"0"))</f>
        <v>0</v>
      </c>
      <c r="F26" s="533" t="str">
        <f>IF($C$9="Drittmittel",'HR-DM (U3,U4,U5AUF)'!$Z$69,IF($C$9="Landesmittel",'HR-LM (U2,U5FOD,U7)'!$Z$69,"0"))</f>
        <v>0</v>
      </c>
      <c r="G26" s="533" t="str">
        <f>IF($C$9="Drittmittel",'HR-DM (U3,U4,U5AUF)'!$AA$69,IF($C$9="Landesmittel",'HR-LM (U2,U5FOD,U7)'!$AA$69,"0"))</f>
        <v>0</v>
      </c>
      <c r="H26" s="533" t="str">
        <f>IF($C$9="Drittmittel",'HR-DM (U3,U4,U5AUF)'!$AB$69,IF($C$9="Landesmittel",'HR-LM (U2,U5FOD,U7)'!$AB$69,"0"))</f>
        <v>0</v>
      </c>
      <c r="I26" s="534" t="str">
        <f>IF($C$9="Drittmittel",'HR-DM (U3,U4,U5AUF)'!$AC$69,IF($C$9="Landesmittel",'HR-LM (U2,U5FOD,U7)'!$AC$69,"0"))</f>
        <v>0</v>
      </c>
      <c r="J26" s="535">
        <f t="shared" ref="J26:J30" si="1">SUM(D26:I26)</f>
        <v>0</v>
      </c>
      <c r="K26" s="529">
        <f t="shared" si="0"/>
        <v>0</v>
      </c>
      <c r="L26" s="530">
        <f t="shared" ref="L26:L30" si="2">J26*K26</f>
        <v>0</v>
      </c>
    </row>
    <row r="27" spans="2:12" ht="24" customHeight="1" x14ac:dyDescent="0.35">
      <c r="B27" s="486">
        <f>B26+1</f>
        <v>1902</v>
      </c>
      <c r="C27" s="531" t="str">
        <f>IF($C$9="Drittmittel",'HR-DM (U3,U4,U5AUF)'!$AL$55,IF($C$9="Landesmittel",'HR-LM (U2,U5FOD,U7)'!$AL$55,"0"))</f>
        <v>0</v>
      </c>
      <c r="D27" s="532" t="str">
        <f>IF($C$9="Drittmittel",'HR-DM (U3,U4,U5AUF)'!$AL$69,IF($C$9="Landesmittel",'HR-LM (U2,U5FOD,U7)'!$AL$69,"0"))</f>
        <v>0</v>
      </c>
      <c r="E27" s="533" t="str">
        <f>IF($C$9="Drittmittel",'HR-DM (U3,U4,U5AUF)'!$AO$69,IF($C$9="Landesmittel",'HR-LM (U2,U5FOD,U7)'!$AO$69,"0"))</f>
        <v>0</v>
      </c>
      <c r="F27" s="533" t="str">
        <f>IF($C$9="Drittmittel",'HR-DM (U3,U4,U5AUF)'!$AP$69,IF($C$9="Landesmittel",'HR-LM (U2,U5FOD,U7)'!$AP$69,"0"))</f>
        <v>0</v>
      </c>
      <c r="G27" s="533" t="str">
        <f>IF($C$9="Drittmittel",'HR-DM (U3,U4,U5AUF)'!$AQ$69,IF($C$9="Landesmittel",'HR-LM (U2,U5FOD,U7)'!$AQ$69,"0"))</f>
        <v>0</v>
      </c>
      <c r="H27" s="533" t="str">
        <f>IF($C$9="Drittmittel",'HR-DM (U3,U4,U5AUF)'!$AR$69,IF($C$9="Landesmittel",'HR-LM (U2,U5FOD,U7)'!$AR$69,"0"))</f>
        <v>0</v>
      </c>
      <c r="I27" s="534" t="str">
        <f>IF($C$9="Drittmittel",'HR-DM (U3,U4,U5AUF)'!$AS$69,IF($C$9="Landesmittel",'HR-LM (U2,U5FOD,U7)'!$AS$69,"0"))</f>
        <v>0</v>
      </c>
      <c r="J27" s="535">
        <f t="shared" si="1"/>
        <v>0</v>
      </c>
      <c r="K27" s="529">
        <f t="shared" si="0"/>
        <v>0</v>
      </c>
      <c r="L27" s="530">
        <f t="shared" si="2"/>
        <v>0</v>
      </c>
    </row>
    <row r="28" spans="2:12" ht="24" customHeight="1" x14ac:dyDescent="0.35">
      <c r="B28" s="486">
        <f>B27+1</f>
        <v>1903</v>
      </c>
      <c r="C28" s="531" t="str">
        <f>IF($C$9="Drittmittel",'HR-DM (U3,U4,U5AUF)'!$G$75,IF($C$9="Landesmittel",'HR-LM (U2,U5FOD,U7)'!$G$75,"0"))</f>
        <v>0</v>
      </c>
      <c r="D28" s="532" t="str">
        <f>IF($C$9="Drittmittel",'HR-DM (U3,U4,U5AUF)'!$G$89,IF($C$9="Landesmittel",'HR-LM (U2,U5FOD,U7)'!$G$89,"0"))</f>
        <v>0</v>
      </c>
      <c r="E28" s="533" t="str">
        <f>IF($C$9="Drittmittel",'HR-DM (U3,U4,U5AUF)'!$I$89,IF($C$9="Landesmittel",'HR-LM (U2,U5FOD,U7)'!$I$89,"0"))</f>
        <v>0</v>
      </c>
      <c r="F28" s="533" t="str">
        <f>IF($C$9="Drittmittel",'HR-DM (U3,U4,U5AUF)'!$J$89,IF($C$9="Landesmittel",'HR-LM (U2,U5FOD,U7)'!$J$89,"0"))</f>
        <v>0</v>
      </c>
      <c r="G28" s="533" t="str">
        <f>IF($C$9="Drittmittel",'HR-DM (U3,U4,U5AUF)'!$K$89,IF($C$9="Landesmittel",'HR-LM (U2,U5FOD,U7)'!$K$89,"0"))</f>
        <v>0</v>
      </c>
      <c r="H28" s="533" t="str">
        <f>IF($C$9="Drittmittel",'HR-DM (U3,U4,U5AUF)'!$L$89,IF($C$9="Landesmittel",'HR-LM (U2,U5FOD,U7)'!$L$89,"0"))</f>
        <v>0</v>
      </c>
      <c r="I28" s="534" t="str">
        <f>IF($C$9="Drittmittel",'HR-DM (U3,U4,U5AUF)'!$M$89,IF($C$9="Landesmittel",'HR-LM (U2,U5FOD,U7)'!$M$89,"0"))</f>
        <v>0</v>
      </c>
      <c r="J28" s="535">
        <f t="shared" si="1"/>
        <v>0</v>
      </c>
      <c r="K28" s="529">
        <f t="shared" si="0"/>
        <v>0</v>
      </c>
      <c r="L28" s="530">
        <f t="shared" si="2"/>
        <v>0</v>
      </c>
    </row>
    <row r="29" spans="2:12" ht="24" customHeight="1" x14ac:dyDescent="0.35">
      <c r="B29" s="486">
        <f>B28+1</f>
        <v>1904</v>
      </c>
      <c r="C29" s="531" t="str">
        <f>IF($C$9="Drittmittel",'HR-DM (U3,U4,U5AUF)'!$V$75,IF($C$9="Landesmittel",'HR-LM (U2,U5FOD,U7)'!$V$75,"0"))</f>
        <v>0</v>
      </c>
      <c r="D29" s="532" t="str">
        <f>IF($C$9="Drittmittel",'HR-DM (U3,U4,U5AUF)'!$V$89,IF($C$9="Landesmittel",'HR-LM (U2,U5FOD,U7)'!$V$89,"0"))</f>
        <v>0</v>
      </c>
      <c r="E29" s="533" t="str">
        <f>IF($C$9="Drittmittel",'HR-DM (U3,U4,U5AUF)'!$Y$89,IF($C$9="Landesmittel",'HR-LM (U2,U5FOD,U7)'!$Y$89,"0"))</f>
        <v>0</v>
      </c>
      <c r="F29" s="533" t="str">
        <f>IF($C$9="Drittmittel",'HR-DM (U3,U4,U5AUF)'!$Z$89,IF($C$9="Landesmittel",'HR-LM (U2,U5FOD,U7)'!$Z$89,"0"))</f>
        <v>0</v>
      </c>
      <c r="G29" s="533" t="str">
        <f>IF($C$9="Drittmittel",'HR-DM (U3,U4,U5AUF)'!$AA$89,IF($C$9="Landesmittel",'HR-LM (U2,U5FOD,U7)'!$AA$89,"0"))</f>
        <v>0</v>
      </c>
      <c r="H29" s="533" t="str">
        <f>IF($C$9="Drittmittel",'HR-DM (U3,U4,U5AUF)'!$AB$89,IF($C$9="Landesmittel",'HR-LM (U2,U5FOD,U7)'!$AB$89,"0"))</f>
        <v>0</v>
      </c>
      <c r="I29" s="534" t="str">
        <f>IF($C$9="Drittmittel",'HR-DM (U3,U4,U5AUF)'!$AC$89,IF($C$9="Landesmittel",'HR-LM (U2,U5FOD,U7)'!$AC$89,"0"))</f>
        <v>0</v>
      </c>
      <c r="J29" s="535">
        <f t="shared" si="1"/>
        <v>0</v>
      </c>
      <c r="K29" s="529">
        <f t="shared" si="0"/>
        <v>0</v>
      </c>
      <c r="L29" s="530">
        <f t="shared" si="2"/>
        <v>0</v>
      </c>
    </row>
    <row r="30" spans="2:12" ht="24" customHeight="1" thickBot="1" x14ac:dyDescent="0.4">
      <c r="B30" s="487">
        <f>B29+1</f>
        <v>1905</v>
      </c>
      <c r="C30" s="536" t="str">
        <f>IF($C$9="Drittmittel",'HR-DM (U3,U4,U5AUF)'!$AL$75,IF($C$9="Landesmittel",'HR-LM (U2,U5FOD,U7)'!$AL$75,"0"))</f>
        <v>0</v>
      </c>
      <c r="D30" s="537" t="str">
        <f>IF($C$9="Drittmittel",'HR-DM (U3,U4,U5AUF)'!$AL$89,IF($C$9="Landesmittel",'HR-LM (U2,U5FOD,U7)'!$AL$89,"0"))</f>
        <v>0</v>
      </c>
      <c r="E30" s="538" t="str">
        <f>IF($C$9="Drittmittel",'HR-DM (U3,U4,U5AUF)'!$AO$89,IF($C$9="Landesmittel",'HR-LM (U2,U5FOD,U7)'!$AO$89,"0"))</f>
        <v>0</v>
      </c>
      <c r="F30" s="538" t="str">
        <f>IF($C$9="Drittmittel",'HR-DM (U3,U4,U5AUF)'!$AP$89,IF($C$9="Landesmittel",'HR-LM (U2,U5FOD,U7)'!$AP$89,"0"))</f>
        <v>0</v>
      </c>
      <c r="G30" s="538" t="str">
        <f>IF($C$9="Drittmittel",'HR-DM (U3,U4,U5AUF)'!$AQ$89,IF($C$9="Landesmittel",'HR-LM (U2,U5FOD,U7)'!$AQ$89,"0"))</f>
        <v>0</v>
      </c>
      <c r="H30" s="538" t="str">
        <f>IF($C$9="Drittmittel",'HR-DM (U3,U4,U5AUF)'!$AR$89,IF($C$9="Landesmittel",'HR-LM (U2,U5FOD,U7)'!$AR$89,"0"))</f>
        <v>0</v>
      </c>
      <c r="I30" s="539" t="str">
        <f>IF($C$9="Drittmittel",'HR-DM (U3,U4,U5AUF)'!$AS$89,IF($C$9="Landesmittel",'HR-LM (U2,U5FOD,U7)'!$AS$89,"0"))</f>
        <v>0</v>
      </c>
      <c r="J30" s="540">
        <f t="shared" si="1"/>
        <v>0</v>
      </c>
      <c r="K30" s="541">
        <f t="shared" si="0"/>
        <v>0</v>
      </c>
      <c r="L30" s="542">
        <f t="shared" si="2"/>
        <v>0</v>
      </c>
    </row>
    <row r="31" spans="2:12" ht="24" customHeight="1" thickBot="1" x14ac:dyDescent="0.4">
      <c r="B31" s="488" t="s">
        <v>11</v>
      </c>
      <c r="C31" s="543">
        <f>SUM(C25:C30)</f>
        <v>0</v>
      </c>
      <c r="D31" s="544">
        <f t="shared" ref="D31:L31" si="3">SUM(D25:D30)</f>
        <v>0</v>
      </c>
      <c r="E31" s="545">
        <f>SUM(E25:E30)</f>
        <v>0</v>
      </c>
      <c r="F31" s="546">
        <f t="shared" si="3"/>
        <v>0</v>
      </c>
      <c r="G31" s="546">
        <f t="shared" si="3"/>
        <v>0</v>
      </c>
      <c r="H31" s="546">
        <f t="shared" si="3"/>
        <v>0</v>
      </c>
      <c r="I31" s="546">
        <f t="shared" si="3"/>
        <v>0</v>
      </c>
      <c r="J31" s="547">
        <f>SUM(J25:J30)</f>
        <v>0</v>
      </c>
      <c r="K31" s="548">
        <f>G8</f>
        <v>0</v>
      </c>
      <c r="L31" s="549">
        <f t="shared" si="3"/>
        <v>0</v>
      </c>
    </row>
    <row r="32" spans="2:12" x14ac:dyDescent="0.35">
      <c r="B32" s="522" t="s">
        <v>178</v>
      </c>
      <c r="C32" s="232"/>
      <c r="D32" s="232"/>
      <c r="E32" s="232"/>
      <c r="F32" s="232"/>
      <c r="G32" s="232"/>
      <c r="H32" s="232"/>
      <c r="I32" s="232"/>
      <c r="J32" s="232"/>
      <c r="K32" s="232"/>
    </row>
    <row r="33" spans="2:11" ht="15.75" customHeight="1" x14ac:dyDescent="0.35">
      <c r="C33" s="522"/>
      <c r="D33" s="522"/>
      <c r="E33" s="522"/>
      <c r="F33" s="522"/>
      <c r="G33" s="230"/>
      <c r="H33" s="230"/>
      <c r="I33" s="230"/>
      <c r="K33" s="230"/>
    </row>
    <row r="34" spans="2:11" x14ac:dyDescent="0.35">
      <c r="B34" s="232"/>
      <c r="C34" s="232"/>
      <c r="D34" s="232"/>
      <c r="E34" s="232"/>
      <c r="F34" s="232"/>
      <c r="G34" s="232"/>
      <c r="H34" s="232"/>
      <c r="I34" s="232"/>
      <c r="J34" s="232"/>
      <c r="K34" s="232"/>
    </row>
    <row r="35" spans="2:11" x14ac:dyDescent="0.35">
      <c r="B35" s="232"/>
      <c r="C35" s="232"/>
      <c r="D35" s="232"/>
      <c r="E35" s="232"/>
      <c r="F35" s="232"/>
      <c r="G35" s="232"/>
      <c r="H35" s="232"/>
      <c r="I35" s="232"/>
      <c r="J35" s="232"/>
      <c r="K35" s="232"/>
    </row>
    <row r="36" spans="2:11" x14ac:dyDescent="0.35">
      <c r="B36" s="232"/>
      <c r="C36" s="232"/>
      <c r="D36" s="232"/>
      <c r="E36" s="232"/>
      <c r="F36" s="232"/>
      <c r="G36" s="232"/>
      <c r="H36" s="232"/>
      <c r="I36" s="232"/>
      <c r="J36" s="232"/>
      <c r="K36" s="232"/>
    </row>
    <row r="37" spans="2:11" x14ac:dyDescent="0.35">
      <c r="B37" s="232"/>
      <c r="C37" s="232"/>
      <c r="D37" s="232"/>
      <c r="E37" s="232"/>
      <c r="F37" s="232"/>
      <c r="G37" s="232"/>
      <c r="H37" s="232"/>
      <c r="I37" s="232"/>
      <c r="J37" s="232"/>
      <c r="K37" s="232"/>
    </row>
  </sheetData>
  <sheetProtection algorithmName="SHA-512" hashValue="jH95NuLrdrzoHCgOY/1ZlbIcUPzRLVN0nhDakQsYUY6ZFNwFk8ZQyqbn8tdBvxRYue44/NocLxax5p9EJ6TlMw==" saltValue="Txtkl1ijWEK+ndAFq2O9hw==" spinCount="100000" sheet="1" formatCells="0" formatColumns="0" formatRows="0" insertColumns="0" insertRows="0" insertHyperlinks="0" deleteColumns="0" deleteRows="0" sort="0" autoFilter="0" pivotTables="0"/>
  <mergeCells count="16">
    <mergeCell ref="C7:D7"/>
    <mergeCell ref="C13:D13"/>
    <mergeCell ref="C12:D12"/>
    <mergeCell ref="C19:D19"/>
    <mergeCell ref="C8:D8"/>
    <mergeCell ref="C15:D15"/>
    <mergeCell ref="B23:G23"/>
    <mergeCell ref="C17:D17"/>
    <mergeCell ref="C18:D18"/>
    <mergeCell ref="C9:D9"/>
    <mergeCell ref="B10:B11"/>
    <mergeCell ref="C16:D16"/>
    <mergeCell ref="C14:D14"/>
    <mergeCell ref="B20:G20"/>
    <mergeCell ref="B21:G21"/>
    <mergeCell ref="F16:G17"/>
  </mergeCells>
  <conditionalFormatting sqref="C11">
    <cfRule type="expression" dxfId="95" priority="16">
      <formula>ISBLANK($C$11)</formula>
    </cfRule>
  </conditionalFormatting>
  <conditionalFormatting sqref="C17:D17">
    <cfRule type="expression" dxfId="94" priority="15">
      <formula>ISBLANK($C$17)</formula>
    </cfRule>
  </conditionalFormatting>
  <conditionalFormatting sqref="C18:D18">
    <cfRule type="expression" dxfId="93" priority="14">
      <formula>ISBLANK($C$18)</formula>
    </cfRule>
  </conditionalFormatting>
  <conditionalFormatting sqref="C12:D12">
    <cfRule type="expression" dxfId="92" priority="13">
      <formula>OR($C$12="Bitte auswählen",ISBLANK($C$12))</formula>
    </cfRule>
  </conditionalFormatting>
  <conditionalFormatting sqref="C13:D13">
    <cfRule type="expression" dxfId="91" priority="12">
      <formula>OR($C$13="Bitte auswählen",ISBLANK($C$13))</formula>
    </cfRule>
  </conditionalFormatting>
  <conditionalFormatting sqref="D11">
    <cfRule type="expression" dxfId="90" priority="11">
      <formula>ISBLANK($D$11)</formula>
    </cfRule>
  </conditionalFormatting>
  <conditionalFormatting sqref="C9:D9">
    <cfRule type="expression" dxfId="89" priority="10">
      <formula>OR($C$9="Bitte auswählen",ISBLANK($C$9))</formula>
    </cfRule>
  </conditionalFormatting>
  <conditionalFormatting sqref="C7:D7">
    <cfRule type="expression" dxfId="88" priority="8">
      <formula>ISBLANK($C$7)</formula>
    </cfRule>
  </conditionalFormatting>
  <conditionalFormatting sqref="C8:D8">
    <cfRule type="expression" dxfId="87" priority="7">
      <formula>ISBLANK($C$8)</formula>
    </cfRule>
  </conditionalFormatting>
  <conditionalFormatting sqref="K24:K31">
    <cfRule type="expression" dxfId="86" priority="5">
      <formula>$G$8&lt;=1</formula>
    </cfRule>
  </conditionalFormatting>
  <conditionalFormatting sqref="G8">
    <cfRule type="expression" dxfId="85" priority="3">
      <formula>ISBLANK($G$8)</formula>
    </cfRule>
  </conditionalFormatting>
  <conditionalFormatting sqref="L24:L31">
    <cfRule type="expression" dxfId="84" priority="2">
      <formula>$G$8&lt;=1</formula>
    </cfRule>
  </conditionalFormatting>
  <conditionalFormatting sqref="C1:J1">
    <cfRule type="expression" dxfId="83" priority="35">
      <formula>$C$1=""</formula>
    </cfRule>
  </conditionalFormatting>
  <dataValidations count="7">
    <dataValidation type="date" allowBlank="1" showInputMessage="1" showErrorMessage="1" sqref="D11" xr:uid="{58371366-021D-47A1-A830-0244A31B1FD6}">
      <formula1>36526</formula1>
      <formula2>401768</formula2>
    </dataValidation>
    <dataValidation type="date" allowBlank="1" showInputMessage="1" showErrorMessage="1" error="Es muss ein Datumseingabe erfolgen (XX.XX.XXXX) _x000a_" sqref="C11" xr:uid="{3296F924-F6C7-481B-B238-12A538312546}">
      <formula1>36526</formula1>
      <formula2>401768</formula2>
    </dataValidation>
    <dataValidation type="date" allowBlank="1" showInputMessage="1" showErrorMessage="1" error="Es muss eine Datumseingabe erfolgen (XX.XX.XXXX)_x000a_" promptTitle="HINWEIS NÄCHSTER STUFENAUFSTIEG" prompt="Sofern genaues Datum bekannt, kann dieses hier eingetragen werden. Damit wird dann eine Formel überschrieben. Wenn die so ermittelte Hochrechnung abgespeichert werden soll, wird daher dazu angeraten, diese in einer separaten Datei abzuspeichern. " sqref="C14:D14" xr:uid="{F87631E5-6817-4B95-8F49-D99EA102CD67}">
      <formula1>1</formula1>
      <formula2>2958465</formula2>
    </dataValidation>
    <dataValidation type="decimal" allowBlank="1" showInputMessage="1" showErrorMessage="1" error="Bitte eine Zahl zwischen 0 und 100 angeben._x000a_" promptTitle="HINWEIS ZUM STELLENANTEIL" prompt="Hier ist anzugeben, welches Vollzeitäquivalent (VZÄ) für die Hochrechnung vorgesehen ist." sqref="C17:D17" xr:uid="{F766F61C-8526-44EC-B294-1C4AA6AEDC71}">
      <formula1>0</formula1>
      <formula2>100</formula2>
    </dataValidation>
    <dataValidation type="decimal" allowBlank="1" showInputMessage="1" showErrorMessage="1" error="Bitte eine Zahl zwischen 0 und 100 angeben" promptTitle="HINWEIS ZUM PROJEKTANTEL" prompt="Hier ist anzugeben, wie hoch der Finanzierungsanteil am Stellenanteil ist. In der Regel sind es 100 %. Ausnahmen bestehen, wenn ein Stellenanteil aus mehreren Finanzierungsquellen finanziert wird" sqref="C18:D18" xr:uid="{0447E0E5-24AF-424D-9CD8-84D6E3086CAA}">
      <formula1>0</formula1>
      <formula2>100</formula2>
    </dataValidation>
    <dataValidation allowBlank="1" showInputMessage="1" showErrorMessage="1" promptTitle="HINWEIS ZUR PERSONENANZAHL" prompt="Wenn mehr als eine Person mit den gleichen Parametern hochgerechnet werden soll, kann an dieser Stelle die entsprechende Anzahl eingetragen werden" sqref="G8" xr:uid="{93D0CE4A-DAF0-47E7-B8D3-06111806E271}"/>
    <dataValidation allowBlank="1" showInputMessage="1" showErrorMessage="1" promptTitle="HINWEIS zu STUNDEN" prompt="Zurzeit beträgt die Arbeitszeit bei einer Vollzeitstelle 39 Stunden pro Woche_x000a_" sqref="F19" xr:uid="{45895190-BF4F-424E-B075-DA677BDF0383}"/>
  </dataValidations>
  <pageMargins left="0.70866141732283472" right="0.70866141732283472" top="0.78740157480314965" bottom="0.78740157480314965" header="0.31496062992125984" footer="0.31496062992125984"/>
  <pageSetup paperSize="9" scale="54" orientation="landscape" r:id="rId1"/>
  <ignoredErrors>
    <ignoredError sqref="K3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88072" r:id="rId4" name="Check Box 8">
              <controlPr defaultSize="0" autoFill="0" autoLine="0" autoPict="0" altText="kalkulatoriche Tariferhöhung berücksichtigen">
                <anchor moveWithCells="1">
                  <from>
                    <xdr:col>4</xdr:col>
                    <xdr:colOff>819150</xdr:colOff>
                    <xdr:row>5</xdr:row>
                    <xdr:rowOff>209550</xdr:rowOff>
                  </from>
                  <to>
                    <xdr:col>5</xdr:col>
                    <xdr:colOff>1009650</xdr:colOff>
                    <xdr:row>7</xdr:row>
                    <xdr:rowOff>228600</xdr:rowOff>
                  </to>
                </anchor>
              </controlPr>
            </control>
          </mc:Choice>
        </mc:AlternateContent>
        <mc:AlternateContent xmlns:mc="http://schemas.openxmlformats.org/markup-compatibility/2006">
          <mc:Choice Requires="x14">
            <control shapeId="88073" r:id="rId5" name="Check Box 9">
              <controlPr defaultSize="0" autoFill="0" autoLine="0" autoPict="0" altText="Einmalzahlung (EZ)">
                <anchor moveWithCells="1">
                  <from>
                    <xdr:col>4</xdr:col>
                    <xdr:colOff>819150</xdr:colOff>
                    <xdr:row>8</xdr:row>
                    <xdr:rowOff>219075</xdr:rowOff>
                  </from>
                  <to>
                    <xdr:col>5</xdr:col>
                    <xdr:colOff>1009650</xdr:colOff>
                    <xdr:row>11</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'DROP DOWN'!$G$3:$G$22</xm:f>
          </x14:formula1>
          <xm:sqref>C12:D12</xm:sqref>
        </x14:dataValidation>
        <x14:dataValidation type="list" allowBlank="1" showInputMessage="1" showErrorMessage="1" promptTitle="HINWEIS ZUR STUFE" prompt="PostDocs oder Mitarbeitende mit Promotion werden i. d. R. nicht unter 3 eingestuft, ebenso Projekstellen mit spezifischer Berufserfahrung. Eine Begründung ist erforderlich, auch für Entgeltgruppen über E13, wenn besondere Qualifikationen verlangt werden. " xr:uid="{02EC7B9F-2632-4896-A5B2-A43185FB6CAA}">
          <x14:formula1>
            <xm:f>'DROP DOWN'!$H$3:$H$9</xm:f>
          </x14:formula1>
          <xm:sqref>C13:D13</xm:sqref>
        </x14:dataValidation>
        <x14:dataValidation type="list" allowBlank="1" showInputMessage="1" showErrorMessage="1" promptTitle="HINWEIS ZUR FINANZIERUNGSART" prompt="Dittmittel (PSP: U3,U4, U5AUF) = gemäß Hochschulfinanzstatistik_x000a__x000a_Landesmittel (PSP: U1,U2,U5FOD,U7,U8,U9 ) =  u. a. LFF/FHH Projekte, Forschungsdiensleistungen (FOD), Mittel im Rahmen der Exzellenzuniversität (EXU), Freie Betriebsmittel (FBM), Reste (VER)" xr:uid="{93D567F3-42C6-4D5C-92B9-952A0DC8F689}">
          <x14:formula1>
            <xm:f>'DROP DOWN'!$C$3:$C$5</xm:f>
          </x14:formula1>
          <xm:sqref>C9:D9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7">
    <tabColor theme="6" tint="0.39997558519241921"/>
    <pageSetUpPr fitToPage="1"/>
  </sheetPr>
  <dimension ref="B1:J31"/>
  <sheetViews>
    <sheetView showGridLines="0" zoomScaleNormal="100" workbookViewId="0">
      <selection activeCell="E27" sqref="E27"/>
    </sheetView>
  </sheetViews>
  <sheetFormatPr baseColWidth="10" defaultColWidth="11.5703125" defaultRowHeight="15.75" x14ac:dyDescent="0.35"/>
  <cols>
    <col min="1" max="1" width="2.7109375" style="212" customWidth="1"/>
    <col min="2" max="2" width="42.28515625" style="212" customWidth="1"/>
    <col min="3" max="8" width="20.7109375" style="212" customWidth="1"/>
    <col min="9" max="9" width="10.28515625" style="212" customWidth="1"/>
    <col min="10" max="10" width="20.5703125" style="212" customWidth="1"/>
    <col min="11" max="16384" width="11.5703125" style="212"/>
  </cols>
  <sheetData>
    <row r="1" spans="2:8" ht="60" customHeight="1" x14ac:dyDescent="0.35"/>
    <row r="3" spans="2:8" s="14" customFormat="1" ht="26.25" x14ac:dyDescent="0.5">
      <c r="B3" s="470" t="s">
        <v>280</v>
      </c>
    </row>
    <row r="4" spans="2:8" x14ac:dyDescent="0.35">
      <c r="B4" s="466" t="str">
        <f>'HR-DM (U3,U4,U5AUF)'!$B$3</f>
        <v>Stand: 03.06.2026 (BITTE AKTUELLE VERSION NUTZEN - ZURZEIT VERSION V06)</v>
      </c>
    </row>
    <row r="5" spans="2:8" x14ac:dyDescent="0.35">
      <c r="B5" s="466"/>
    </row>
    <row r="6" spans="2:8" ht="16.5" thickBot="1" x14ac:dyDescent="0.4">
      <c r="B6" s="465" t="s">
        <v>228</v>
      </c>
    </row>
    <row r="7" spans="2:8" ht="18" customHeight="1" x14ac:dyDescent="0.35">
      <c r="B7" s="473" t="s">
        <v>118</v>
      </c>
      <c r="C7" s="651"/>
      <c r="D7" s="652"/>
      <c r="H7" s="508" t="s">
        <v>235</v>
      </c>
    </row>
    <row r="8" spans="2:8" ht="18" customHeight="1" thickBot="1" x14ac:dyDescent="0.4">
      <c r="B8" s="474" t="s">
        <v>65</v>
      </c>
      <c r="C8" s="653"/>
      <c r="D8" s="645"/>
      <c r="H8" s="490"/>
    </row>
    <row r="9" spans="2:8" ht="18" customHeight="1" thickBot="1" x14ac:dyDescent="0.4">
      <c r="B9" s="474" t="s">
        <v>222</v>
      </c>
      <c r="C9" s="627" t="s">
        <v>225</v>
      </c>
      <c r="D9" s="628"/>
    </row>
    <row r="10" spans="2:8" ht="17.25" customHeight="1" thickBot="1" x14ac:dyDescent="0.4">
      <c r="B10" s="629" t="s">
        <v>230</v>
      </c>
      <c r="C10" s="515" t="s">
        <v>221</v>
      </c>
      <c r="D10" s="514" t="s">
        <v>1</v>
      </c>
    </row>
    <row r="11" spans="2:8" ht="18" customHeight="1" thickBot="1" x14ac:dyDescent="0.4">
      <c r="B11" s="629"/>
      <c r="C11" s="475"/>
      <c r="D11" s="476"/>
      <c r="F11" s="648" t="s">
        <v>204</v>
      </c>
      <c r="G11" s="649"/>
      <c r="H11" s="650"/>
    </row>
    <row r="12" spans="2:8" ht="18" customHeight="1" thickBot="1" x14ac:dyDescent="0.4">
      <c r="B12" s="474" t="s">
        <v>154</v>
      </c>
      <c r="C12" s="627" t="s">
        <v>225</v>
      </c>
      <c r="D12" s="628"/>
      <c r="F12" s="503" t="s">
        <v>205</v>
      </c>
      <c r="G12" s="504" t="s">
        <v>202</v>
      </c>
      <c r="H12" s="505" t="s">
        <v>201</v>
      </c>
    </row>
    <row r="13" spans="2:8" ht="18" customHeight="1" thickBot="1" x14ac:dyDescent="0.4">
      <c r="B13" s="474" t="s">
        <v>234</v>
      </c>
      <c r="C13" s="630" t="str">
        <f>IF('HR-SHK, WHK u.Tut'!$N$6=TRUE,"Ja","Nein")</f>
        <v>Ja</v>
      </c>
      <c r="D13" s="631"/>
      <c r="F13" s="422">
        <v>1</v>
      </c>
      <c r="G13" s="506">
        <v>4.3479999999999999</v>
      </c>
      <c r="H13" s="507">
        <f>F13*G13</f>
        <v>4</v>
      </c>
    </row>
    <row r="14" spans="2:8" ht="18" customHeight="1" thickBot="1" x14ac:dyDescent="0.4">
      <c r="B14" s="489" t="str">
        <f>'HR-SHK, WHK u.Tut'!P5</f>
        <v>Std. pro Monat</v>
      </c>
      <c r="C14" s="654"/>
      <c r="D14" s="655"/>
      <c r="F14" s="425" t="s">
        <v>203</v>
      </c>
      <c r="G14" s="58"/>
      <c r="H14" s="58"/>
    </row>
    <row r="15" spans="2:8" s="509" customFormat="1" x14ac:dyDescent="0.25">
      <c r="B15" s="647" t="s">
        <v>284</v>
      </c>
      <c r="C15" s="647"/>
      <c r="D15" s="647"/>
      <c r="E15" s="647"/>
      <c r="F15" s="647"/>
    </row>
    <row r="16" spans="2:8" s="509" customFormat="1" x14ac:dyDescent="0.25">
      <c r="B16" s="602"/>
      <c r="C16" s="597"/>
      <c r="D16" s="597"/>
      <c r="E16" s="597"/>
      <c r="F16" s="597"/>
    </row>
    <row r="17" spans="2:10" ht="21" customHeight="1" thickBot="1" x14ac:dyDescent="0.4">
      <c r="B17" s="646"/>
      <c r="C17" s="646"/>
      <c r="D17" s="646"/>
      <c r="E17" s="646"/>
      <c r="F17" s="646"/>
    </row>
    <row r="18" spans="2:10" s="14" customFormat="1" ht="21" customHeight="1" thickBot="1" x14ac:dyDescent="0.4">
      <c r="B18" s="478" t="s">
        <v>58</v>
      </c>
      <c r="C18" s="479" t="s">
        <v>59</v>
      </c>
      <c r="D18" s="479" t="s">
        <v>124</v>
      </c>
      <c r="E18" s="480" t="s">
        <v>96</v>
      </c>
      <c r="F18" s="482" t="s">
        <v>93</v>
      </c>
      <c r="G18" s="482" t="s">
        <v>95</v>
      </c>
      <c r="H18" s="517" t="s">
        <v>11</v>
      </c>
      <c r="I18" s="484" t="s">
        <v>90</v>
      </c>
      <c r="J18" s="519" t="s">
        <v>11</v>
      </c>
    </row>
    <row r="19" spans="2:10" ht="21" customHeight="1" x14ac:dyDescent="0.35">
      <c r="B19" s="485">
        <f>'HR-SHK, WHK u.Tut'!G11</f>
        <v>1900</v>
      </c>
      <c r="C19" s="550" t="e">
        <f>'HR-SHK, WHK u.Tut'!F38</f>
        <v>#NUM!</v>
      </c>
      <c r="D19" s="550">
        <f>IFERROR(AVERAGE('HR-SHK, WHK u.Tut'!G19:J19),0)</f>
        <v>0</v>
      </c>
      <c r="E19" s="551" t="e">
        <f>'HR-SHK, WHK u.Tut'!F52</f>
        <v>#N/A</v>
      </c>
      <c r="F19" s="552" t="e">
        <f>'HR-SHK, WHK u.Tut'!G52</f>
        <v>#N/A</v>
      </c>
      <c r="G19" s="552" t="e">
        <f>'HR-SHK, WHK u.Tut'!H52</f>
        <v>#N/A</v>
      </c>
      <c r="H19" s="553" t="e">
        <f t="shared" ref="H19:H24" si="0">SUM(E19:G19)</f>
        <v>#N/A</v>
      </c>
      <c r="I19" s="529" t="e">
        <f>IF(H19=0,0,$H$8)</f>
        <v>#N/A</v>
      </c>
      <c r="J19" s="530" t="e">
        <f>H19*I19</f>
        <v>#N/A</v>
      </c>
    </row>
    <row r="20" spans="2:10" ht="21" customHeight="1" x14ac:dyDescent="0.35">
      <c r="B20" s="486">
        <f>B19+1</f>
        <v>1901</v>
      </c>
      <c r="C20" s="554">
        <f>'HR-SHK, WHK u.Tut'!P38</f>
        <v>0</v>
      </c>
      <c r="D20" s="554">
        <f>IFERROR(AVERAGE('HR-SHK, WHK u.Tut'!K19:Q19),0)</f>
        <v>0</v>
      </c>
      <c r="E20" s="555">
        <f>'HR-SHK, WHK u.Tut'!P52</f>
        <v>0</v>
      </c>
      <c r="F20" s="556">
        <f>'HR-SHK, WHK u.Tut'!R52</f>
        <v>0</v>
      </c>
      <c r="G20" s="556">
        <f>'HR-SHK, WHK u.Tut'!S52</f>
        <v>0</v>
      </c>
      <c r="H20" s="557">
        <f t="shared" si="0"/>
        <v>0</v>
      </c>
      <c r="I20" s="529">
        <f>IF(H20=0,0,$I$19)</f>
        <v>0</v>
      </c>
      <c r="J20" s="530">
        <f t="shared" ref="J20:J24" si="1">H20*I20</f>
        <v>0</v>
      </c>
    </row>
    <row r="21" spans="2:10" ht="21" customHeight="1" x14ac:dyDescent="0.35">
      <c r="B21" s="486">
        <f>B20+1</f>
        <v>1902</v>
      </c>
      <c r="C21" s="554">
        <f>'HR-SHK, WHK u.Tut'!AA38</f>
        <v>0</v>
      </c>
      <c r="D21" s="554">
        <f>IFERROR(AVERAGE('HR-SHK, WHK u.Tut'!R19:U19),0)</f>
        <v>0</v>
      </c>
      <c r="E21" s="555">
        <f>'HR-SHK, WHK u.Tut'!AA52</f>
        <v>0</v>
      </c>
      <c r="F21" s="556">
        <f>'HR-SHK, WHK u.Tut'!AC52</f>
        <v>0</v>
      </c>
      <c r="G21" s="556">
        <f>'HR-SHK, WHK u.Tut'!AD52</f>
        <v>0</v>
      </c>
      <c r="H21" s="557">
        <f t="shared" si="0"/>
        <v>0</v>
      </c>
      <c r="I21" s="529">
        <f t="shared" ref="I21:I24" si="2">IF(H21=0,0,$I$19)</f>
        <v>0</v>
      </c>
      <c r="J21" s="530">
        <f t="shared" si="1"/>
        <v>0</v>
      </c>
    </row>
    <row r="22" spans="2:10" ht="21" customHeight="1" x14ac:dyDescent="0.35">
      <c r="B22" s="486">
        <f>B21+1</f>
        <v>1903</v>
      </c>
      <c r="C22" s="554">
        <f>'HR-SHK, WHK u.Tut'!F56</f>
        <v>0</v>
      </c>
      <c r="D22" s="554">
        <f>IFERROR(AVERAGE('HR-SHK, WHK u.Tut'!G30:J30),0)</f>
        <v>0</v>
      </c>
      <c r="E22" s="555">
        <f>'HR-SHK, WHK u.Tut'!F70</f>
        <v>0</v>
      </c>
      <c r="F22" s="556">
        <f>'HR-SHK, WHK u.Tut'!G70</f>
        <v>0</v>
      </c>
      <c r="G22" s="556">
        <f>'HR-SHK, WHK u.Tut'!H70</f>
        <v>0</v>
      </c>
      <c r="H22" s="557">
        <f t="shared" si="0"/>
        <v>0</v>
      </c>
      <c r="I22" s="529">
        <f t="shared" si="2"/>
        <v>0</v>
      </c>
      <c r="J22" s="530">
        <f t="shared" si="1"/>
        <v>0</v>
      </c>
    </row>
    <row r="23" spans="2:10" ht="21" customHeight="1" x14ac:dyDescent="0.35">
      <c r="B23" s="486">
        <f>B22+1</f>
        <v>1904</v>
      </c>
      <c r="C23" s="554">
        <f>'HR-SHK, WHK u.Tut'!P56</f>
        <v>0</v>
      </c>
      <c r="D23" s="554">
        <f>IFERROR(AVERAGE('HR-SHK, WHK u.Tut'!K30:Q30),0)</f>
        <v>0</v>
      </c>
      <c r="E23" s="555">
        <f>'HR-SHK, WHK u.Tut'!P70</f>
        <v>0</v>
      </c>
      <c r="F23" s="556">
        <f>'HR-SHK, WHK u.Tut'!R70</f>
        <v>0</v>
      </c>
      <c r="G23" s="556">
        <f>'HR-SHK, WHK u.Tut'!S70</f>
        <v>0</v>
      </c>
      <c r="H23" s="557">
        <f t="shared" si="0"/>
        <v>0</v>
      </c>
      <c r="I23" s="529">
        <f t="shared" si="2"/>
        <v>0</v>
      </c>
      <c r="J23" s="530">
        <f t="shared" si="1"/>
        <v>0</v>
      </c>
    </row>
    <row r="24" spans="2:10" ht="21" customHeight="1" thickBot="1" x14ac:dyDescent="0.4">
      <c r="B24" s="487">
        <f>B23+1</f>
        <v>1905</v>
      </c>
      <c r="C24" s="558">
        <f>'HR-SHK, WHK u.Tut'!AA56</f>
        <v>0</v>
      </c>
      <c r="D24" s="558">
        <f>IFERROR(AVERAGE('HR-SHK, WHK u.Tut'!R30:U30),0)</f>
        <v>0</v>
      </c>
      <c r="E24" s="559">
        <f>'HR-SHK, WHK u.Tut'!AA70</f>
        <v>0</v>
      </c>
      <c r="F24" s="560">
        <f>'HR-SHK, WHK u.Tut'!AC70</f>
        <v>0</v>
      </c>
      <c r="G24" s="560">
        <f>'HR-SHK, WHK u.Tut'!AD70</f>
        <v>0</v>
      </c>
      <c r="H24" s="561">
        <f t="shared" si="0"/>
        <v>0</v>
      </c>
      <c r="I24" s="541">
        <f t="shared" si="2"/>
        <v>0</v>
      </c>
      <c r="J24" s="542">
        <f t="shared" si="1"/>
        <v>0</v>
      </c>
    </row>
    <row r="25" spans="2:10" ht="21" customHeight="1" thickBot="1" x14ac:dyDescent="0.4">
      <c r="B25" s="488" t="s">
        <v>11</v>
      </c>
      <c r="C25" s="543" t="e">
        <f>SUM(C19:C24)</f>
        <v>#NUM!</v>
      </c>
      <c r="D25" s="576"/>
      <c r="E25" s="577" t="e">
        <f t="shared" ref="E25:H25" si="3">SUM(E19:E24)</f>
        <v>#N/A</v>
      </c>
      <c r="F25" s="578" t="e">
        <f t="shared" si="3"/>
        <v>#N/A</v>
      </c>
      <c r="G25" s="578" t="e">
        <f t="shared" si="3"/>
        <v>#N/A</v>
      </c>
      <c r="H25" s="579" t="e">
        <f t="shared" si="3"/>
        <v>#N/A</v>
      </c>
      <c r="I25" s="548" t="e">
        <f>I19</f>
        <v>#N/A</v>
      </c>
      <c r="J25" s="601" t="e">
        <f>SUM(J19:J24)</f>
        <v>#N/A</v>
      </c>
    </row>
    <row r="26" spans="2:10" ht="22.5" customHeight="1" x14ac:dyDescent="0.35">
      <c r="B26" s="522" t="s">
        <v>179</v>
      </c>
      <c r="C26" s="232"/>
      <c r="D26" s="232"/>
      <c r="E26" s="232"/>
      <c r="F26" s="232"/>
      <c r="G26" s="232"/>
      <c r="H26" s="232"/>
    </row>
    <row r="27" spans="2:10" x14ac:dyDescent="0.35">
      <c r="C27" s="522"/>
      <c r="D27" s="522"/>
      <c r="E27" s="522"/>
      <c r="F27" s="232"/>
    </row>
    <row r="28" spans="2:10" x14ac:dyDescent="0.35">
      <c r="B28" s="232"/>
      <c r="C28" s="232"/>
      <c r="D28" s="232"/>
      <c r="E28" s="232"/>
      <c r="F28" s="232"/>
      <c r="G28" s="232"/>
      <c r="H28" s="232"/>
    </row>
    <row r="29" spans="2:10" x14ac:dyDescent="0.35">
      <c r="B29" s="232"/>
      <c r="C29" s="232"/>
      <c r="D29" s="232"/>
      <c r="E29" s="232"/>
      <c r="F29" s="232"/>
      <c r="G29" s="232"/>
      <c r="H29" s="232"/>
    </row>
    <row r="30" spans="2:10" x14ac:dyDescent="0.35">
      <c r="B30" s="232"/>
      <c r="C30" s="232"/>
      <c r="D30" s="232"/>
      <c r="E30" s="232"/>
      <c r="F30" s="232"/>
      <c r="G30" s="232"/>
      <c r="H30" s="232"/>
    </row>
    <row r="31" spans="2:10" x14ac:dyDescent="0.35">
      <c r="B31" s="232"/>
      <c r="C31" s="232"/>
      <c r="D31" s="232"/>
      <c r="E31" s="232"/>
      <c r="F31" s="232"/>
      <c r="G31" s="232"/>
      <c r="H31" s="232"/>
    </row>
  </sheetData>
  <sheetProtection algorithmName="SHA-512" hashValue="P4oRZPX4OfYholJUrEvlTF56McK2UDeNeZlHT+6mYPndTcc3VV9mtK4up9Hx22wdCYWoY0HMbC+BWdJP5nFr6Q==" saltValue="ieELFfzIF1jzbL0hAX5zqg==" spinCount="100000" sheet="1" formatCells="0" formatColumns="0" formatRows="0" insertColumns="0" insertRows="0" insertHyperlinks="0" deleteColumns="0" deleteRows="0" sort="0" autoFilter="0" pivotTables="0"/>
  <mergeCells count="10">
    <mergeCell ref="B17:F17"/>
    <mergeCell ref="B15:F15"/>
    <mergeCell ref="C9:D9"/>
    <mergeCell ref="F11:H11"/>
    <mergeCell ref="C7:D7"/>
    <mergeCell ref="C8:D8"/>
    <mergeCell ref="C12:D12"/>
    <mergeCell ref="B10:B11"/>
    <mergeCell ref="C14:D14"/>
    <mergeCell ref="C13:D13"/>
  </mergeCells>
  <conditionalFormatting sqref="C12:D12">
    <cfRule type="expression" dxfId="82" priority="14">
      <formula>OR($C$12="Bitte auswählen",ISBLANK($C$12))</formula>
    </cfRule>
  </conditionalFormatting>
  <conditionalFormatting sqref="C14:D14">
    <cfRule type="expression" dxfId="81" priority="11">
      <formula>ISBLANK($C$14)</formula>
    </cfRule>
  </conditionalFormatting>
  <conditionalFormatting sqref="C7:D7">
    <cfRule type="expression" dxfId="80" priority="10">
      <formula>ISBLANK($C$7)</formula>
    </cfRule>
  </conditionalFormatting>
  <conditionalFormatting sqref="C8:D8">
    <cfRule type="expression" dxfId="79" priority="9">
      <formula>ISBLANK($C$8)</formula>
    </cfRule>
  </conditionalFormatting>
  <conditionalFormatting sqref="H8">
    <cfRule type="expression" dxfId="78" priority="8">
      <formula>ISBLANK($H$8)</formula>
    </cfRule>
  </conditionalFormatting>
  <conditionalFormatting sqref="C11">
    <cfRule type="expression" dxfId="77" priority="5">
      <formula>ISBLANK($C$11)</formula>
    </cfRule>
  </conditionalFormatting>
  <conditionalFormatting sqref="D11">
    <cfRule type="expression" dxfId="76" priority="4">
      <formula>ISBLANK($D$11)</formula>
    </cfRule>
  </conditionalFormatting>
  <conditionalFormatting sqref="C9:D9">
    <cfRule type="expression" dxfId="75" priority="3">
      <formula>OR($C$9="Bitte auswählen",ISBLANK($C$9))</formula>
    </cfRule>
  </conditionalFormatting>
  <conditionalFormatting sqref="I18:I25">
    <cfRule type="expression" dxfId="74" priority="35">
      <formula>$H$8&lt;=1</formula>
    </cfRule>
  </conditionalFormatting>
  <conditionalFormatting sqref="J18:J24">
    <cfRule type="expression" dxfId="73" priority="2">
      <formula>$H$8&lt;=1</formula>
    </cfRule>
  </conditionalFormatting>
  <conditionalFormatting sqref="J25">
    <cfRule type="expression" dxfId="72" priority="1">
      <formula>$H$8&lt;=1</formula>
    </cfRule>
  </conditionalFormatting>
  <dataValidations count="4">
    <dataValidation allowBlank="1" showInputMessage="1" showErrorMessage="1" promptTitle="HINWEIS ZU STD / SWS PRO MONAT" prompt="Minijob 603 Euro (2026) / 633 Euro (ab 2027)_x000a__x000a_SHK = max. 39 Std./ Monat möglich_x000a_WHK = max. 34 Std./ Monat möglich_x000a_STUT = max. 3,5 SWS/ Monat möglich_x000a_ATUT = max. 2 SWS / Monat möglich" sqref="C14:D14" xr:uid="{3A5F856F-2D36-4344-9520-7914495A4B98}"/>
    <dataValidation allowBlank="1" showInputMessage="1" showErrorMessage="1" promptTitle="HINWEIS ZUR PERSONENANZAHL" prompt="Wenn mehr als eine Person mit den gleichen Parametern hochgerechnet werden soll, kann an dieser Stelle die entsprechende Anzahl eingetragen werden" sqref="H8" xr:uid="{8A544719-3361-41D4-887B-D02CD2474BA7}"/>
    <dataValidation type="date" allowBlank="1" showInputMessage="1" showErrorMessage="1" error="Es muss ein Datumseingabe erfolgen (XX.XX.XXXX) _x000a_" sqref="C11" xr:uid="{3B2A6845-3C14-404C-A31B-FB6ADA4EE265}">
      <formula1>36526</formula1>
      <formula2>401768</formula2>
    </dataValidation>
    <dataValidation type="date" allowBlank="1" showInputMessage="1" showErrorMessage="1" sqref="D11" xr:uid="{23ECDCD8-1641-4EE2-9505-CED6E785C784}">
      <formula1>36526</formula1>
      <formula2>401768</formula2>
    </dataValidation>
  </dataValidations>
  <hyperlinks>
    <hyperlink ref="F14" r:id="rId1" display="https://www.lohn-info.de/zeitberechnungen.html" xr:uid="{73172C79-532F-4AF0-A09E-5D03AE72FEE5}"/>
  </hyperlinks>
  <pageMargins left="0.70866141732283472" right="0.70866141732283472" top="0.78740157480314965" bottom="0.78740157480314965" header="0.31496062992125984" footer="0.31496062992125984"/>
  <pageSetup paperSize="9" scale="65" orientation="landscape" r:id="rId2"/>
  <ignoredErrors>
    <ignoredError sqref="C20:J24 C25:H25 J25 C19:H19 J19" evalError="1"/>
    <ignoredError sqref="I25" evalError="1"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113666" r:id="rId5" name="Check Box 2">
              <controlPr defaultSize="0" autoFill="0" autoLine="0" autoPict="0" altText="kalkulatoriche Tariferhöhung berücksichtigen">
                <anchor moveWithCells="1">
                  <from>
                    <xdr:col>5</xdr:col>
                    <xdr:colOff>38100</xdr:colOff>
                    <xdr:row>6</xdr:row>
                    <xdr:rowOff>19050</xdr:rowOff>
                  </from>
                  <to>
                    <xdr:col>6</xdr:col>
                    <xdr:colOff>247650</xdr:colOff>
                    <xdr:row>7</xdr:row>
                    <xdr:rowOff>200025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E809EABD-2165-47E8-A090-4CF325981445}">
          <x14:formula1>
            <xm:f>'DROP DOWN'!$D$3:$D$7</xm:f>
          </x14:formula1>
          <xm:sqref>C12:D12</xm:sqref>
        </x14:dataValidation>
        <x14:dataValidation type="list" allowBlank="1" showInputMessage="1" showErrorMessage="1" promptTitle="HINWEIS ZUR FINANZIERUNGSART" prompt="Dittmittel (PSP: U3,U4, U5AUF) = gemäß Hochschulfinanzstatistik_x000a__x000a_Landesmittel (PSP: U1,U2,U5FOD,U7,U8,U9 ) =  u. a. LFF/FHH Projekte, Forschungsdiensleistungen (FOD), Mittel im Rahmen der Exzellenzuniversität (EXU), Freie Betriebsmittel (FBM), Reste (VER)" xr:uid="{A6519BDC-6872-40DE-AC1B-7E6E2831224E}">
          <x14:formula1>
            <xm:f>'DROP DOWN'!$C$3:$C$5</xm:f>
          </x14:formula1>
          <xm:sqref>C9:D9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20">
    <tabColor theme="8" tint="0.59999389629810485"/>
    <pageSetUpPr fitToPage="1"/>
  </sheetPr>
  <dimension ref="B1:J31"/>
  <sheetViews>
    <sheetView showGridLines="0" zoomScaleNormal="100" workbookViewId="0">
      <selection activeCell="B15" sqref="B15:G15"/>
    </sheetView>
  </sheetViews>
  <sheetFormatPr baseColWidth="10" defaultColWidth="11.5703125" defaultRowHeight="15.75" x14ac:dyDescent="0.35"/>
  <cols>
    <col min="1" max="1" width="2.7109375" style="212" customWidth="1"/>
    <col min="2" max="2" width="30.5703125" style="212" customWidth="1"/>
    <col min="3" max="8" width="20.7109375" style="212" customWidth="1"/>
    <col min="9" max="9" width="15" style="212" customWidth="1"/>
    <col min="10" max="10" width="20.7109375" style="212" customWidth="1"/>
    <col min="11" max="16384" width="11.5703125" style="212"/>
  </cols>
  <sheetData>
    <row r="1" spans="2:8" ht="60" customHeight="1" x14ac:dyDescent="0.35"/>
    <row r="3" spans="2:8" s="14" customFormat="1" ht="26.25" x14ac:dyDescent="0.5">
      <c r="B3" s="470" t="s">
        <v>229</v>
      </c>
      <c r="F3" s="212"/>
      <c r="H3" s="213"/>
    </row>
    <row r="4" spans="2:8" s="14" customFormat="1" ht="18.75" customHeight="1" x14ac:dyDescent="0.35">
      <c r="B4" s="468" t="str">
        <f>'HR-DM (U3,U4,U5AUF)'!$B$3</f>
        <v>Stand: 03.06.2026 (BITTE AKTUELLE VERSION NUTZEN - ZURZEIT VERSION V06)</v>
      </c>
      <c r="F4" s="212"/>
      <c r="H4" s="213"/>
    </row>
    <row r="5" spans="2:8" ht="16.5" thickBot="1" x14ac:dyDescent="0.4"/>
    <row r="6" spans="2:8" ht="18.75" customHeight="1" x14ac:dyDescent="0.35">
      <c r="B6" s="473" t="s">
        <v>118</v>
      </c>
      <c r="C6" s="639" t="str">
        <f>IF(ISBLANK(PKHR_für_Tarifpersonal!$C$7)=TRUE,"",PKHR_für_Tarifpersonal!$C$7)</f>
        <v/>
      </c>
      <c r="D6" s="640"/>
      <c r="G6" s="508" t="s">
        <v>235</v>
      </c>
    </row>
    <row r="7" spans="2:8" ht="18.75" thickBot="1" x14ac:dyDescent="0.4">
      <c r="B7" s="474" t="s">
        <v>65</v>
      </c>
      <c r="C7" s="653" t="str">
        <f>IF(ISBLANK(PKHR_für_Tarifpersonal!$C$8)=TRUE,"",PKHR_für_Tarifpersonal!$C$8)</f>
        <v/>
      </c>
      <c r="D7" s="645"/>
      <c r="G7" s="490">
        <f>PKHR_für_Tarifpersonal!G8</f>
        <v>0</v>
      </c>
    </row>
    <row r="8" spans="2:8" ht="17.25" x14ac:dyDescent="0.35">
      <c r="B8" s="629" t="s">
        <v>117</v>
      </c>
      <c r="C8" s="515" t="s">
        <v>0</v>
      </c>
      <c r="D8" s="514" t="s">
        <v>1</v>
      </c>
    </row>
    <row r="9" spans="2:8" ht="18.75" thickBot="1" x14ac:dyDescent="0.4">
      <c r="B9" s="629"/>
      <c r="C9" s="491">
        <f>IF(ISBLANK('HR-AZA(P)'!M6)=TRUE,"-",'HR-AZA(P)'!M6)</f>
        <v>0</v>
      </c>
      <c r="D9" s="492">
        <f>IF(ISBLANK('HR-AZA(P)'!N6)=TRUE,"-",'HR-AZA(P)'!N6)</f>
        <v>0</v>
      </c>
    </row>
    <row r="10" spans="2:8" ht="18.75" thickBot="1" x14ac:dyDescent="0.4">
      <c r="B10" s="474" t="s">
        <v>105</v>
      </c>
      <c r="C10" s="627" t="str">
        <f>'HR-AZA(P)'!P6</f>
        <v>Bitte auswählen</v>
      </c>
      <c r="D10" s="628"/>
    </row>
    <row r="11" spans="2:8" ht="18.75" thickBot="1" x14ac:dyDescent="0.4">
      <c r="B11" s="474" t="s">
        <v>91</v>
      </c>
      <c r="C11" s="627" t="str">
        <f>'HR-AZA(P)'!Q6</f>
        <v>Bitte auswählen</v>
      </c>
      <c r="D11" s="641"/>
    </row>
    <row r="12" spans="2:8" ht="18.75" thickBot="1" x14ac:dyDescent="0.4">
      <c r="B12" s="474" t="s">
        <v>170</v>
      </c>
      <c r="C12" s="632" t="e">
        <f>IF(ISBLANK('HR-AZA(P)'!O6)=TRUE,"-",'HR-AZA(P)'!V6)</f>
        <v>#VALUE!</v>
      </c>
      <c r="D12" s="633"/>
    </row>
    <row r="13" spans="2:8" ht="21" thickBot="1" x14ac:dyDescent="0.4">
      <c r="B13" s="474" t="s">
        <v>234</v>
      </c>
      <c r="C13" s="658" t="str">
        <f>IF('HR-AZA(P)'!$X$5=TRUE,"Ja","Nein")</f>
        <v>Ja</v>
      </c>
      <c r="D13" s="659"/>
    </row>
    <row r="14" spans="2:8" ht="20.45" customHeight="1" thickBot="1" x14ac:dyDescent="0.4">
      <c r="B14" s="477" t="s">
        <v>76</v>
      </c>
      <c r="C14" s="656">
        <f>'HR-AZA(P)'!O6</f>
        <v>0</v>
      </c>
      <c r="D14" s="657"/>
    </row>
    <row r="15" spans="2:8" ht="22.9" customHeight="1" x14ac:dyDescent="0.35">
      <c r="B15" s="634" t="s">
        <v>265</v>
      </c>
      <c r="C15" s="634"/>
      <c r="D15" s="634"/>
      <c r="E15" s="634"/>
      <c r="F15" s="634"/>
      <c r="G15" s="634"/>
    </row>
    <row r="16" spans="2:8" x14ac:dyDescent="0.35">
      <c r="B16" s="523"/>
    </row>
    <row r="17" spans="2:10" ht="16.5" thickBot="1" x14ac:dyDescent="0.4"/>
    <row r="18" spans="2:10" s="14" customFormat="1" ht="35.25" thickBot="1" x14ac:dyDescent="0.4">
      <c r="B18" s="493" t="s">
        <v>58</v>
      </c>
      <c r="C18" s="494" t="s">
        <v>59</v>
      </c>
      <c r="D18" s="482" t="s">
        <v>60</v>
      </c>
      <c r="E18" s="482" t="s">
        <v>61</v>
      </c>
      <c r="F18" s="482" t="s">
        <v>84</v>
      </c>
      <c r="G18" s="483" t="s">
        <v>62</v>
      </c>
      <c r="H18" s="518" t="s">
        <v>63</v>
      </c>
      <c r="I18" s="484" t="s">
        <v>90</v>
      </c>
      <c r="J18" s="519" t="s">
        <v>11</v>
      </c>
    </row>
    <row r="19" spans="2:10" ht="23.25" customHeight="1" x14ac:dyDescent="0.35">
      <c r="B19" s="495">
        <f>'HR-AZA(P)'!P104</f>
        <v>1900</v>
      </c>
      <c r="C19" s="562" t="e">
        <f>'HR-AZA(P)'!Q104</f>
        <v>#NUM!</v>
      </c>
      <c r="D19" s="552">
        <f>'HR-AZA(P)'!V104</f>
        <v>0</v>
      </c>
      <c r="E19" s="552" t="e">
        <f>'HR-AZA(P)'!Z104</f>
        <v>#N/A</v>
      </c>
      <c r="F19" s="552" t="e">
        <f>'HR-AZA(P)'!W104</f>
        <v>#NUM!</v>
      </c>
      <c r="G19" s="563" t="e">
        <f>'HR-AZA(P)'!AA104</f>
        <v>#NUM!</v>
      </c>
      <c r="H19" s="564" t="e">
        <f>'HR-AZA(P)'!AB104</f>
        <v>#NUM!</v>
      </c>
      <c r="I19" s="529" t="e">
        <f>IF(H19=0,0,$G$7)</f>
        <v>#NUM!</v>
      </c>
      <c r="J19" s="580" t="e">
        <f t="shared" ref="J19:J24" si="0">H19*I19</f>
        <v>#NUM!</v>
      </c>
    </row>
    <row r="20" spans="2:10" ht="23.25" customHeight="1" x14ac:dyDescent="0.35">
      <c r="B20" s="496">
        <f>'HR-AZA(P)'!P105</f>
        <v>1901</v>
      </c>
      <c r="C20" s="565">
        <f>'HR-AZA(P)'!Q105</f>
        <v>0</v>
      </c>
      <c r="D20" s="556">
        <f>'HR-AZA(P)'!V105</f>
        <v>0</v>
      </c>
      <c r="E20" s="556" t="e">
        <f>'HR-AZA(P)'!Z105</f>
        <v>#N/A</v>
      </c>
      <c r="F20" s="556">
        <f>'HR-AZA(P)'!W105</f>
        <v>0</v>
      </c>
      <c r="G20" s="566" t="e">
        <f>'HR-AZA(P)'!AA105</f>
        <v>#N/A</v>
      </c>
      <c r="H20" s="567" t="e">
        <f>'HR-AZA(P)'!AB105</f>
        <v>#N/A</v>
      </c>
      <c r="I20" s="529" t="e">
        <f>IF(H20=0,0,$I$19)</f>
        <v>#N/A</v>
      </c>
      <c r="J20" s="580" t="e">
        <f t="shared" si="0"/>
        <v>#N/A</v>
      </c>
    </row>
    <row r="21" spans="2:10" ht="23.25" customHeight="1" x14ac:dyDescent="0.35">
      <c r="B21" s="496">
        <f>'HR-AZA(P)'!P106</f>
        <v>1902</v>
      </c>
      <c r="C21" s="565">
        <f>'HR-AZA(P)'!Q106</f>
        <v>0</v>
      </c>
      <c r="D21" s="556">
        <f>'HR-AZA(P)'!V106</f>
        <v>0</v>
      </c>
      <c r="E21" s="556" t="e">
        <f>'HR-AZA(P)'!Z106</f>
        <v>#N/A</v>
      </c>
      <c r="F21" s="556">
        <f>'HR-AZA(P)'!W106</f>
        <v>0</v>
      </c>
      <c r="G21" s="566" t="e">
        <f>'HR-AZA(P)'!AA106</f>
        <v>#N/A</v>
      </c>
      <c r="H21" s="567" t="e">
        <f>'HR-AZA(P)'!AB106</f>
        <v>#N/A</v>
      </c>
      <c r="I21" s="529" t="e">
        <f t="shared" ref="I21:I24" si="1">IF(H21=0,0,$I$19)</f>
        <v>#N/A</v>
      </c>
      <c r="J21" s="580" t="e">
        <f t="shared" si="0"/>
        <v>#N/A</v>
      </c>
    </row>
    <row r="22" spans="2:10" ht="23.25" customHeight="1" x14ac:dyDescent="0.35">
      <c r="B22" s="496">
        <f>'HR-AZA(P)'!P107</f>
        <v>1903</v>
      </c>
      <c r="C22" s="565">
        <f>'HR-AZA(P)'!Q107</f>
        <v>0</v>
      </c>
      <c r="D22" s="556">
        <f>'HR-AZA(P)'!V107</f>
        <v>0</v>
      </c>
      <c r="E22" s="556" t="e">
        <f>'HR-AZA(P)'!Z107</f>
        <v>#N/A</v>
      </c>
      <c r="F22" s="556">
        <f>'HR-AZA(P)'!W107</f>
        <v>0</v>
      </c>
      <c r="G22" s="566" t="e">
        <f>'HR-AZA(P)'!AA107</f>
        <v>#N/A</v>
      </c>
      <c r="H22" s="567" t="e">
        <f>'HR-AZA(P)'!AB107</f>
        <v>#N/A</v>
      </c>
      <c r="I22" s="529" t="e">
        <f t="shared" si="1"/>
        <v>#N/A</v>
      </c>
      <c r="J22" s="580" t="e">
        <f t="shared" si="0"/>
        <v>#N/A</v>
      </c>
    </row>
    <row r="23" spans="2:10" ht="23.25" customHeight="1" x14ac:dyDescent="0.35">
      <c r="B23" s="496">
        <f>'HR-AZA(P)'!P108</f>
        <v>1904</v>
      </c>
      <c r="C23" s="565">
        <f>'HR-AZA(P)'!Q108</f>
        <v>0</v>
      </c>
      <c r="D23" s="556">
        <f>'HR-AZA(P)'!V108</f>
        <v>0</v>
      </c>
      <c r="E23" s="556" t="e">
        <f>'HR-AZA(P)'!Z108</f>
        <v>#N/A</v>
      </c>
      <c r="F23" s="556">
        <f>'HR-AZA(P)'!W108</f>
        <v>0</v>
      </c>
      <c r="G23" s="566" t="e">
        <f>'HR-AZA(P)'!AA108</f>
        <v>#N/A</v>
      </c>
      <c r="H23" s="567" t="e">
        <f>'HR-AZA(P)'!AB108</f>
        <v>#N/A</v>
      </c>
      <c r="I23" s="529" t="e">
        <f t="shared" si="1"/>
        <v>#N/A</v>
      </c>
      <c r="J23" s="580" t="e">
        <f t="shared" si="0"/>
        <v>#N/A</v>
      </c>
    </row>
    <row r="24" spans="2:10" ht="23.25" customHeight="1" thickBot="1" x14ac:dyDescent="0.4">
      <c r="B24" s="497">
        <f>'HR-AZA(P)'!P109</f>
        <v>1905</v>
      </c>
      <c r="C24" s="568">
        <f>'HR-AZA(P)'!Q109</f>
        <v>0</v>
      </c>
      <c r="D24" s="560">
        <f>'HR-AZA(P)'!V109</f>
        <v>0</v>
      </c>
      <c r="E24" s="560" t="e">
        <f>'HR-AZA(P)'!Z109</f>
        <v>#N/A</v>
      </c>
      <c r="F24" s="560">
        <f>'HR-AZA(P)'!W109</f>
        <v>0</v>
      </c>
      <c r="G24" s="569" t="e">
        <f>'HR-AZA(P)'!AA109</f>
        <v>#N/A</v>
      </c>
      <c r="H24" s="570" t="e">
        <f>'HR-AZA(P)'!AB109</f>
        <v>#N/A</v>
      </c>
      <c r="I24" s="541" t="e">
        <f t="shared" si="1"/>
        <v>#N/A</v>
      </c>
      <c r="J24" s="581" t="e">
        <f t="shared" si="0"/>
        <v>#N/A</v>
      </c>
    </row>
    <row r="25" spans="2:10" ht="24.75" customHeight="1" thickBot="1" x14ac:dyDescent="0.4">
      <c r="B25" s="498" t="s">
        <v>11</v>
      </c>
      <c r="C25" s="571" t="e">
        <f>SUM(C19:C24)</f>
        <v>#NUM!</v>
      </c>
      <c r="D25" s="572"/>
      <c r="E25" s="546"/>
      <c r="F25" s="546" t="e">
        <f>SUM(F19:F24)</f>
        <v>#NUM!</v>
      </c>
      <c r="G25" s="573" t="e">
        <f>SUM(G19:G24)</f>
        <v>#NUM!</v>
      </c>
      <c r="H25" s="574" t="e">
        <f>SUM(H19:H24)</f>
        <v>#NUM!</v>
      </c>
      <c r="I25" s="548" t="e">
        <f>I19</f>
        <v>#NUM!</v>
      </c>
      <c r="J25" s="575" t="e">
        <f t="shared" ref="J25" si="2">SUM(J19:J24)</f>
        <v>#NUM!</v>
      </c>
    </row>
    <row r="26" spans="2:10" x14ac:dyDescent="0.35">
      <c r="B26" s="232"/>
      <c r="C26" s="232"/>
      <c r="D26" s="232"/>
      <c r="E26" s="232"/>
      <c r="F26" s="232"/>
      <c r="G26" s="232"/>
      <c r="H26" s="232"/>
    </row>
    <row r="27" spans="2:10" x14ac:dyDescent="0.35">
      <c r="B27" s="278" t="s">
        <v>227</v>
      </c>
      <c r="C27" s="232"/>
      <c r="D27" s="232"/>
      <c r="E27" s="232"/>
      <c r="F27" s="232"/>
      <c r="G27" s="232"/>
    </row>
    <row r="28" spans="2:10" x14ac:dyDescent="0.35">
      <c r="B28" s="232"/>
      <c r="C28" s="232"/>
      <c r="D28" s="232"/>
      <c r="E28" s="232"/>
      <c r="F28" s="232"/>
      <c r="G28" s="232"/>
      <c r="H28" s="232"/>
    </row>
    <row r="29" spans="2:10" x14ac:dyDescent="0.35">
      <c r="B29" s="232"/>
      <c r="C29" s="232"/>
      <c r="D29" s="232"/>
      <c r="E29" s="232"/>
      <c r="F29" s="232"/>
      <c r="G29" s="232"/>
      <c r="H29" s="232"/>
    </row>
    <row r="30" spans="2:10" x14ac:dyDescent="0.35">
      <c r="B30" s="232"/>
      <c r="C30" s="232"/>
      <c r="D30" s="232"/>
      <c r="E30" s="232"/>
      <c r="F30" s="232"/>
      <c r="G30" s="232"/>
      <c r="H30" s="232"/>
    </row>
    <row r="31" spans="2:10" x14ac:dyDescent="0.35">
      <c r="B31" s="232"/>
      <c r="C31" s="232"/>
      <c r="D31" s="232"/>
      <c r="E31" s="232"/>
      <c r="F31" s="232"/>
      <c r="G31" s="232"/>
      <c r="H31" s="232"/>
    </row>
  </sheetData>
  <sheetProtection algorithmName="SHA-512" hashValue="5ByYGzxXEaz0GrfrM13MtBsWf9njJXyi171Os2RE+WLRbSa8FN8j166+HwVuArevBqRkir3hKgvquVZzn9nGkA==" saltValue="tqnHFsEwUSoQ815K8aFmwA==" spinCount="100000" sheet="1" formatCells="0" formatColumns="0" formatRows="0" insertColumns="0" insertRows="0" insertHyperlinks="0" deleteColumns="0" deleteRows="0" sort="0" autoFilter="0" pivotTables="0"/>
  <mergeCells count="9">
    <mergeCell ref="B15:G15"/>
    <mergeCell ref="C14:D14"/>
    <mergeCell ref="B8:B9"/>
    <mergeCell ref="C6:D6"/>
    <mergeCell ref="C7:D7"/>
    <mergeCell ref="C10:D10"/>
    <mergeCell ref="C11:D11"/>
    <mergeCell ref="C12:D12"/>
    <mergeCell ref="C13:D13"/>
  </mergeCells>
  <conditionalFormatting sqref="C6">
    <cfRule type="expression" dxfId="71" priority="14">
      <formula>$E$21="XYZ"</formula>
    </cfRule>
  </conditionalFormatting>
  <conditionalFormatting sqref="C14">
    <cfRule type="expression" dxfId="70" priority="9">
      <formula>$E$19="XYZ"</formula>
    </cfRule>
  </conditionalFormatting>
  <conditionalFormatting sqref="I18:I25">
    <cfRule type="expression" dxfId="69" priority="6">
      <formula>$G$7&lt;=1</formula>
    </cfRule>
  </conditionalFormatting>
  <conditionalFormatting sqref="G7">
    <cfRule type="expression" dxfId="68" priority="2">
      <formula>ISBLANK($G$7)</formula>
    </cfRule>
  </conditionalFormatting>
  <conditionalFormatting sqref="J18:J25">
    <cfRule type="expression" dxfId="67" priority="1">
      <formula>$G$7&lt;=1</formula>
    </cfRule>
  </conditionalFormatting>
  <dataValidations count="1">
    <dataValidation allowBlank="1" showInputMessage="1" showErrorMessage="1" promptTitle="HINWEIS ZUR PERSONENANZAHL" prompt="Wenn mehr als eine Person mit den gleichen Parametern hochgerechnet werden soll, kann an dieser Stelle die entsprechende Anzahl eingetragen werden" sqref="G7" xr:uid="{07973003-F46F-4A77-9E6C-98B1DAF967A0}"/>
  </dataValidations>
  <pageMargins left="0.70866141732283472" right="0.70866141732283472" top="0.78740157480314965" bottom="0.78740157480314965" header="0.31496062992125984" footer="0.31496062992125984"/>
  <pageSetup paperSize="9" orientation="landscape" r:id="rId1"/>
  <ignoredErrors>
    <ignoredError sqref="J19 J20:J24 I20:I24 C19:H19 C25:H25 C20:H24"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55651" r:id="rId4" name="Check Box 3">
              <controlPr defaultSize="0" autoFill="0" autoLine="0" autoPict="0" altText="kalkulatoriche Tariferhöhung berücksichtigen">
                <anchor moveWithCells="1">
                  <from>
                    <xdr:col>4</xdr:col>
                    <xdr:colOff>609600</xdr:colOff>
                    <xdr:row>5</xdr:row>
                    <xdr:rowOff>19050</xdr:rowOff>
                  </from>
                  <to>
                    <xdr:col>5</xdr:col>
                    <xdr:colOff>828675</xdr:colOff>
                    <xdr:row>7</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'DROP DOWN'!$G$3:$G$22</xm:f>
          </x14:formula1>
          <xm:sqref>C10:D10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5" tint="0.39997558519241921"/>
    <pageSetUpPr fitToPage="1"/>
  </sheetPr>
  <dimension ref="B1:AT106"/>
  <sheetViews>
    <sheetView showGridLines="0" topLeftCell="J1" zoomScale="70" zoomScaleNormal="70" zoomScaleSheetLayoutView="80" workbookViewId="0">
      <pane ySplit="18" topLeftCell="A48" activePane="bottomLeft" state="frozen"/>
      <selection activeCell="AR64" sqref="AR64"/>
      <selection pane="bottomLeft" activeCell="AB62" sqref="AB62"/>
    </sheetView>
  </sheetViews>
  <sheetFormatPr baseColWidth="10" defaultColWidth="11.42578125" defaultRowHeight="15.75" outlineLevelRow="2" outlineLevelCol="1" x14ac:dyDescent="0.35"/>
  <cols>
    <col min="1" max="1" width="5.7109375" style="58" customWidth="1"/>
    <col min="2" max="2" width="20.140625" style="58" customWidth="1"/>
    <col min="3" max="3" width="25.140625" style="58" hidden="1" customWidth="1" outlineLevel="1"/>
    <col min="4" max="5" width="12.7109375" style="58" hidden="1" customWidth="1" outlineLevel="1"/>
    <col min="6" max="6" width="11.5703125" style="58" hidden="1" customWidth="1" outlineLevel="1"/>
    <col min="7" max="7" width="28.85546875" style="58" customWidth="1" collapsed="1"/>
    <col min="8" max="8" width="21.7109375" style="58" hidden="1" customWidth="1" outlineLevel="1"/>
    <col min="9" max="9" width="13.42578125" style="58" customWidth="1" collapsed="1"/>
    <col min="10" max="11" width="13.42578125" style="58" customWidth="1"/>
    <col min="12" max="12" width="13.85546875" style="58" customWidth="1"/>
    <col min="13" max="14" width="13.42578125" style="58" customWidth="1"/>
    <col min="15" max="15" width="15.140625" style="58" customWidth="1"/>
    <col min="16" max="16" width="14.7109375" style="58" customWidth="1"/>
    <col min="17" max="17" width="13.42578125" style="58" customWidth="1"/>
    <col min="18" max="21" width="12.7109375" style="58" hidden="1" customWidth="1" outlineLevel="1"/>
    <col min="22" max="22" width="18.7109375" style="58" customWidth="1" collapsed="1"/>
    <col min="23" max="23" width="12.5703125" style="58" customWidth="1"/>
    <col min="24" max="24" width="12.7109375" style="58" hidden="1" customWidth="1" outlineLevel="1"/>
    <col min="25" max="25" width="8" style="58" customWidth="1" collapsed="1"/>
    <col min="26" max="33" width="13.42578125" style="58" customWidth="1"/>
    <col min="34" max="34" width="18" style="58" hidden="1" customWidth="1" outlineLevel="1"/>
    <col min="35" max="37" width="14.140625" style="58" hidden="1" customWidth="1" outlineLevel="1"/>
    <col min="38" max="38" width="13.42578125" style="58" customWidth="1" collapsed="1"/>
    <col min="39" max="39" width="13.42578125" style="58" customWidth="1"/>
    <col min="40" max="40" width="13.7109375" style="58" hidden="1" customWidth="1" outlineLevel="1"/>
    <col min="41" max="41" width="13.7109375" style="58" customWidth="1" collapsed="1"/>
    <col min="42" max="46" width="13.42578125" style="58" customWidth="1"/>
    <col min="47" max="16384" width="11.42578125" style="58"/>
  </cols>
  <sheetData>
    <row r="1" spans="2:43" ht="27.75" customHeight="1" x14ac:dyDescent="0.35">
      <c r="G1" s="59"/>
    </row>
    <row r="2" spans="2:43" ht="31.5" x14ac:dyDescent="0.6">
      <c r="B2" s="323" t="s">
        <v>98</v>
      </c>
      <c r="G2" s="60"/>
      <c r="L2" s="61"/>
      <c r="P2" s="61"/>
      <c r="R2" s="61"/>
      <c r="S2" s="61"/>
      <c r="T2" s="61"/>
      <c r="U2" s="61"/>
      <c r="V2" s="61"/>
      <c r="W2" s="61"/>
      <c r="X2" s="62"/>
      <c r="Y2" s="62"/>
      <c r="AC2" s="63"/>
    </row>
    <row r="3" spans="2:43" x14ac:dyDescent="0.35">
      <c r="B3" s="375" t="str">
        <f>PKHR_für_Tarifpersonal!B4</f>
        <v>Stand: 03.06.2026 (BITTE AKTUELLE VERSION NUTZEN - ZURZEIT VERSION V06)</v>
      </c>
      <c r="L3" s="61"/>
      <c r="P3" s="61"/>
      <c r="R3" s="61"/>
      <c r="S3" s="61"/>
      <c r="T3" s="61"/>
      <c r="U3" s="61"/>
      <c r="V3" s="61"/>
      <c r="W3" s="61"/>
      <c r="X3" s="62"/>
      <c r="Y3" s="62"/>
      <c r="AC3" s="63"/>
    </row>
    <row r="4" spans="2:43" ht="39" customHeight="1" thickBot="1" x14ac:dyDescent="0.5">
      <c r="B4" s="326" t="s">
        <v>175</v>
      </c>
      <c r="L4" s="62"/>
      <c r="P4" s="61"/>
      <c r="Q4" s="61"/>
      <c r="R4" s="61"/>
      <c r="S4" s="61"/>
      <c r="T4" s="61"/>
      <c r="U4" s="61"/>
      <c r="V4" s="61"/>
      <c r="W4" s="61"/>
      <c r="X4" s="62"/>
      <c r="Y4" s="62"/>
    </row>
    <row r="5" spans="2:43" s="72" customFormat="1" ht="45.95" customHeight="1" thickBot="1" x14ac:dyDescent="0.4">
      <c r="B5" s="65" t="s">
        <v>119</v>
      </c>
      <c r="C5" s="66"/>
      <c r="D5" s="66"/>
      <c r="E5" s="67"/>
      <c r="F5" s="67"/>
      <c r="G5" s="68" t="s">
        <v>116</v>
      </c>
      <c r="H5" s="68"/>
      <c r="I5" s="779" t="s">
        <v>113</v>
      </c>
      <c r="J5" s="780"/>
      <c r="K5" s="781"/>
      <c r="L5" s="68" t="s">
        <v>121</v>
      </c>
      <c r="M5" s="68" t="s">
        <v>86</v>
      </c>
      <c r="N5" s="68" t="s">
        <v>87</v>
      </c>
      <c r="O5" s="68" t="s">
        <v>160</v>
      </c>
      <c r="P5" s="68" t="s">
        <v>109</v>
      </c>
      <c r="Q5" s="68" t="s">
        <v>115</v>
      </c>
      <c r="R5" s="69"/>
      <c r="S5" s="69"/>
      <c r="T5" s="69"/>
      <c r="U5" s="70"/>
      <c r="V5" s="68" t="s">
        <v>174</v>
      </c>
      <c r="W5" s="71" t="s">
        <v>164</v>
      </c>
      <c r="X5" s="72" t="b">
        <v>1</v>
      </c>
      <c r="AA5" s="73"/>
      <c r="AB5" s="74"/>
      <c r="AC5" s="74"/>
      <c r="AD5" s="58"/>
      <c r="AL5" s="660" t="s">
        <v>125</v>
      </c>
      <c r="AM5" s="661"/>
      <c r="AN5" s="662"/>
    </row>
    <row r="6" spans="2:43" ht="45.95" customHeight="1" thickBot="1" x14ac:dyDescent="0.4">
      <c r="B6" s="208">
        <f>PKHR_für_Tarifpersonal!$C$7</f>
        <v>0</v>
      </c>
      <c r="C6" s="75"/>
      <c r="D6" s="75"/>
      <c r="E6" s="76"/>
      <c r="F6" s="76"/>
      <c r="G6" s="77"/>
      <c r="H6" s="75"/>
      <c r="I6" s="782">
        <f>PKHR_für_Tarifpersonal!$C$8</f>
        <v>0</v>
      </c>
      <c r="J6" s="783"/>
      <c r="K6" s="784"/>
      <c r="L6" s="318"/>
      <c r="M6" s="207">
        <f>PKHR_für_Tarifpersonal!$C$11</f>
        <v>0</v>
      </c>
      <c r="N6" s="207">
        <f>PKHR_für_Tarifpersonal!$D$11</f>
        <v>0</v>
      </c>
      <c r="O6" s="79">
        <f>O8*J30/100*O10/J30*100</f>
        <v>0</v>
      </c>
      <c r="P6" s="80" t="str">
        <f>PKHR_für_Tarifpersonal!$C$12</f>
        <v>Bitte auswählen</v>
      </c>
      <c r="Q6" s="80" t="str">
        <f>PKHR_für_Tarifpersonal!$C$13</f>
        <v>Bitte auswählen</v>
      </c>
      <c r="R6" s="80"/>
      <c r="S6" s="78"/>
      <c r="T6" s="78"/>
      <c r="U6" s="78"/>
      <c r="V6" s="207" t="e">
        <f>PKHR_für_Tarifpersonal!$C$14</f>
        <v>#VALUE!</v>
      </c>
      <c r="W6" s="205">
        <f>IF(O10=0,1,O10)</f>
        <v>1</v>
      </c>
      <c r="X6" s="61" t="b">
        <v>1</v>
      </c>
      <c r="Y6" s="61"/>
      <c r="Z6" s="61"/>
      <c r="AA6" s="73"/>
      <c r="AB6" s="81"/>
      <c r="AC6" s="81"/>
      <c r="AL6" s="663"/>
      <c r="AM6" s="664"/>
      <c r="AN6" s="665"/>
      <c r="AO6" s="82"/>
      <c r="AP6" s="82"/>
      <c r="AQ6" s="82"/>
    </row>
    <row r="7" spans="2:43" ht="29.45" hidden="1" customHeight="1" outlineLevel="1" thickBot="1" x14ac:dyDescent="0.4">
      <c r="B7" s="83"/>
      <c r="C7" s="82"/>
      <c r="D7" s="82"/>
      <c r="E7" s="82"/>
      <c r="F7" s="82"/>
      <c r="J7" s="84"/>
      <c r="N7" s="83"/>
      <c r="O7" s="379" t="s">
        <v>161</v>
      </c>
      <c r="P7" s="83"/>
      <c r="R7" s="83"/>
      <c r="S7" s="83"/>
      <c r="T7" s="83"/>
      <c r="U7" s="83"/>
      <c r="V7" s="83"/>
      <c r="W7" s="379" t="s">
        <v>165</v>
      </c>
      <c r="X7" s="61"/>
      <c r="Y7" s="61"/>
      <c r="Z7" s="61"/>
      <c r="AA7" s="73"/>
      <c r="AB7" s="81"/>
      <c r="AC7" s="81"/>
      <c r="AN7" s="82"/>
      <c r="AO7" s="82"/>
      <c r="AP7" s="82"/>
      <c r="AQ7" s="82"/>
    </row>
    <row r="8" spans="2:43" ht="25.15" hidden="1" customHeight="1" outlineLevel="1" thickBot="1" x14ac:dyDescent="0.4">
      <c r="B8" s="83"/>
      <c r="C8" s="82"/>
      <c r="D8" s="82"/>
      <c r="E8" s="82"/>
      <c r="F8" s="82"/>
      <c r="J8" s="84"/>
      <c r="N8" s="83"/>
      <c r="O8" s="380">
        <f>PKHR_für_Tarifpersonal!$C$17</f>
        <v>0</v>
      </c>
      <c r="W8" s="381">
        <f>IF(O8=0,J30,O8*J30/100*100)</f>
        <v>39</v>
      </c>
      <c r="X8" s="61" t="b">
        <v>0</v>
      </c>
      <c r="Y8" s="61"/>
      <c r="Z8" s="61"/>
      <c r="AA8" s="73"/>
      <c r="AB8" s="81"/>
      <c r="AC8" s="81"/>
      <c r="AN8" s="82"/>
      <c r="AO8" s="82"/>
      <c r="AP8" s="82"/>
      <c r="AQ8" s="82"/>
    </row>
    <row r="9" spans="2:43" ht="28.9" hidden="1" customHeight="1" outlineLevel="1" thickBot="1" x14ac:dyDescent="0.4">
      <c r="B9" s="83"/>
      <c r="C9" s="82"/>
      <c r="D9" s="82"/>
      <c r="E9" s="82"/>
      <c r="F9" s="82"/>
      <c r="J9" s="84"/>
      <c r="N9" s="83"/>
      <c r="O9" s="379" t="s">
        <v>162</v>
      </c>
      <c r="W9" s="379" t="s">
        <v>166</v>
      </c>
      <c r="X9" s="61" t="b">
        <v>1</v>
      </c>
      <c r="Y9" s="61"/>
      <c r="Z9" s="61"/>
      <c r="AA9" s="73"/>
      <c r="AB9" s="81"/>
      <c r="AC9" s="81"/>
      <c r="AN9" s="82"/>
      <c r="AO9" s="82"/>
      <c r="AP9" s="82"/>
      <c r="AQ9" s="82"/>
    </row>
    <row r="10" spans="2:43" ht="32.450000000000003" hidden="1" customHeight="1" outlineLevel="1" thickBot="1" x14ac:dyDescent="0.4">
      <c r="B10" s="83"/>
      <c r="C10" s="82"/>
      <c r="D10" s="82"/>
      <c r="E10" s="82"/>
      <c r="F10" s="82"/>
      <c r="J10" s="84"/>
      <c r="N10" s="83"/>
      <c r="O10" s="380">
        <f>PKHR_für_Tarifpersonal!$C$18</f>
        <v>0</v>
      </c>
      <c r="W10" s="381">
        <f>IF(O10=0,O6*W8,W8*O10)</f>
        <v>0</v>
      </c>
      <c r="Z10" s="73"/>
      <c r="AA10" s="61"/>
      <c r="AB10" s="61"/>
      <c r="AN10" s="82"/>
      <c r="AO10" s="82"/>
      <c r="AP10" s="82"/>
      <c r="AQ10" s="82"/>
    </row>
    <row r="11" spans="2:43" ht="19.899999999999999" customHeight="1" collapsed="1" x14ac:dyDescent="0.35">
      <c r="B11" s="83"/>
      <c r="C11" s="82"/>
      <c r="D11" s="82"/>
      <c r="E11" s="82"/>
      <c r="F11" s="82"/>
      <c r="J11" s="84"/>
      <c r="N11" s="83"/>
      <c r="W11" s="61"/>
      <c r="X11" s="61"/>
      <c r="Y11" s="61"/>
      <c r="Z11" s="61"/>
      <c r="AA11" s="73"/>
      <c r="AB11" s="81"/>
      <c r="AC11" s="81"/>
      <c r="AN11" s="82"/>
      <c r="AO11" s="82"/>
      <c r="AP11" s="82"/>
      <c r="AQ11" s="82"/>
    </row>
    <row r="12" spans="2:43" hidden="1" outlineLevel="1" x14ac:dyDescent="0.35">
      <c r="B12" s="83"/>
      <c r="C12" s="82"/>
      <c r="D12" s="82"/>
      <c r="E12" s="82"/>
      <c r="F12" s="82"/>
      <c r="J12" s="84"/>
      <c r="N12" s="60"/>
      <c r="R12" s="85">
        <v>1</v>
      </c>
      <c r="S12" s="85" t="e">
        <f>IF($Q$6+R12&gt;6,"",$Q$6+R12)</f>
        <v>#VALUE!</v>
      </c>
      <c r="T12" s="86" t="str">
        <f>IFERROR(IF(IF($Q$6+R12&gt;6,0,DATE(YEAR(V6)+$Q$6+R12,MONTH(V6),DAY(V6)))&gt;$N$6,"01.01.1900",IF($Q$6+R12&gt;6,0,DATE(YEAR(V6)+$Q$6+R12,MONTH(V6),DAY(V6)))),"01.01.1900")</f>
        <v>01.01.1900</v>
      </c>
      <c r="W12" s="61"/>
      <c r="X12" s="61"/>
      <c r="Y12" s="61"/>
      <c r="Z12" s="61"/>
      <c r="AA12" s="87"/>
      <c r="AB12" s="82"/>
      <c r="AC12" s="82"/>
      <c r="AN12" s="82"/>
      <c r="AO12" s="82"/>
      <c r="AP12" s="82"/>
      <c r="AQ12" s="82"/>
    </row>
    <row r="13" spans="2:43" hidden="1" outlineLevel="1" x14ac:dyDescent="0.35">
      <c r="B13" s="83"/>
      <c r="C13" s="82"/>
      <c r="D13" s="82"/>
      <c r="E13" s="82"/>
      <c r="F13" s="82"/>
      <c r="J13" s="84"/>
      <c r="R13" s="85">
        <v>2</v>
      </c>
      <c r="S13" s="85" t="e">
        <f>IF($Q$6+R13&gt;6,"",$Q$6+R13)</f>
        <v>#VALUE!</v>
      </c>
      <c r="T13" s="86" t="e">
        <f>IF(IF($Q$6+R13&gt;6,0,DATE(YEAR(T12)+$Q$6+R13,MONTH(T12),DAY(T12)))&gt;N$6,"01.01.1900",IF($Q$6+R13&gt;6,0,DATE(YEAR(T12)+$Q$6+R13,MONTH(T12),DAY(T12))))</f>
        <v>#VALUE!</v>
      </c>
      <c r="W13" s="61"/>
      <c r="X13" s="61"/>
      <c r="Y13" s="61"/>
      <c r="Z13" s="61"/>
      <c r="AA13" s="87"/>
      <c r="AB13" s="82"/>
      <c r="AC13" s="82"/>
      <c r="AN13" s="82"/>
      <c r="AO13" s="82"/>
      <c r="AP13" s="82"/>
      <c r="AQ13" s="82"/>
    </row>
    <row r="14" spans="2:43" hidden="1" outlineLevel="1" x14ac:dyDescent="0.35">
      <c r="B14" s="83"/>
      <c r="C14" s="82"/>
      <c r="D14" s="82"/>
      <c r="E14" s="82"/>
      <c r="F14" s="82"/>
      <c r="J14" s="84"/>
      <c r="N14" s="60"/>
      <c r="R14" s="85">
        <v>3</v>
      </c>
      <c r="S14" s="85" t="e">
        <f>IF($Q$6+R14&gt;6,"",$Q$6+R14)</f>
        <v>#VALUE!</v>
      </c>
      <c r="T14" s="86" t="e">
        <f>IF(IF($Q$6+R14&gt;6,0,DATE(YEAR(T13)+$Q$6+R14,MONTH(T13),DAY(T13)))&gt;N$6,"01.01.1900",IF($Q$6+R14&gt;6,0,DATE(YEAR(T13)+$Q$6+R14,MONTH(T13),DAY(T13))))</f>
        <v>#VALUE!</v>
      </c>
      <c r="V14" s="60"/>
      <c r="W14" s="325"/>
      <c r="X14" s="61"/>
      <c r="Y14" s="61"/>
      <c r="Z14" s="61"/>
      <c r="AA14" s="87"/>
      <c r="AB14" s="82"/>
      <c r="AC14" s="82"/>
      <c r="AN14" s="82"/>
      <c r="AO14" s="82"/>
      <c r="AP14" s="82"/>
      <c r="AQ14" s="82"/>
    </row>
    <row r="15" spans="2:43" hidden="1" outlineLevel="1" x14ac:dyDescent="0.35">
      <c r="B15" s="83"/>
      <c r="C15" s="82"/>
      <c r="D15" s="82"/>
      <c r="E15" s="82"/>
      <c r="F15" s="82"/>
      <c r="J15" s="84"/>
      <c r="R15" s="85">
        <v>4</v>
      </c>
      <c r="S15" s="85" t="e">
        <f>IF($Q$6+R15&gt;6,"",$Q$6+R15)</f>
        <v>#VALUE!</v>
      </c>
      <c r="T15" s="86" t="e">
        <f>IF(IF($Q$6+R15&gt;6,0,DATE(YEAR(T14)+$Q$6+R15,MONTH(T14),DAY(T14)))&gt;N$6,"01.01.1900",IF($Q$6+R15&gt;6,0,DATE(YEAR(T14)+$Q$6+R15,MONTH(T14),DAY(T14))))</f>
        <v>#VALUE!</v>
      </c>
      <c r="W15" s="325"/>
      <c r="X15" s="61"/>
      <c r="Y15" s="61"/>
      <c r="Z15" s="61"/>
      <c r="AA15" s="87"/>
      <c r="AB15" s="82"/>
      <c r="AC15" s="82"/>
      <c r="AN15" s="82"/>
      <c r="AO15" s="82"/>
      <c r="AP15" s="82"/>
      <c r="AQ15" s="82"/>
    </row>
    <row r="16" spans="2:43" hidden="1" outlineLevel="1" x14ac:dyDescent="0.35">
      <c r="B16" s="64"/>
      <c r="J16" s="84"/>
      <c r="K16" s="88"/>
      <c r="L16" s="89"/>
      <c r="M16" s="90"/>
      <c r="N16" s="90"/>
      <c r="O16" s="90"/>
      <c r="P16" s="90"/>
      <c r="Q16" s="90"/>
      <c r="R16" s="91">
        <v>5</v>
      </c>
      <c r="S16" s="85" t="e">
        <f>IF($Q$6+R16&gt;6,"",$Q$6+R16)</f>
        <v>#VALUE!</v>
      </c>
      <c r="T16" s="86" t="e">
        <f>IF(IF($Q$6+R16&gt;6,0,DATE(YEAR(T15)+$Q$6+R16,MONTH(T15),DAY(T15)))&gt;N$6,"01.01.1900",IF($Q$6+R16&gt;6,0,DATE(YEAR(T15)+$Q$6+R16,MONTH(T15),DAY(T15))))</f>
        <v>#VALUE!</v>
      </c>
      <c r="U16" s="61"/>
      <c r="V16" s="61"/>
      <c r="W16" s="61"/>
      <c r="X16" s="62"/>
      <c r="Y16" s="62"/>
      <c r="Z16" s="87"/>
      <c r="AA16" s="82"/>
      <c r="AB16" s="82"/>
      <c r="AM16" s="82"/>
      <c r="AN16" s="82"/>
      <c r="AO16" s="82"/>
      <c r="AP16" s="82"/>
    </row>
    <row r="17" spans="2:46" hidden="1" outlineLevel="1" x14ac:dyDescent="0.35">
      <c r="B17" s="64"/>
      <c r="J17" s="84"/>
      <c r="K17" s="88"/>
      <c r="L17" s="89"/>
      <c r="M17" s="90"/>
      <c r="N17" s="90"/>
      <c r="O17" s="90"/>
      <c r="P17" s="90"/>
      <c r="Q17" s="90"/>
      <c r="R17" s="61"/>
      <c r="S17" s="61"/>
      <c r="T17" s="61"/>
      <c r="U17" s="61"/>
      <c r="V17" s="61"/>
      <c r="W17" s="61"/>
      <c r="X17" s="62"/>
      <c r="Y17" s="62"/>
      <c r="Z17" s="87"/>
      <c r="AA17" s="82"/>
      <c r="AB17" s="82"/>
      <c r="AM17" s="82"/>
      <c r="AN17" s="82"/>
      <c r="AO17" s="82"/>
      <c r="AP17" s="82"/>
    </row>
    <row r="18" spans="2:46" ht="22.5" customHeight="1" collapsed="1" x14ac:dyDescent="0.35">
      <c r="B18" s="209"/>
      <c r="J18" s="84"/>
      <c r="K18" s="88"/>
      <c r="L18" s="89"/>
      <c r="M18" s="90"/>
      <c r="N18" s="90"/>
      <c r="O18" s="90"/>
      <c r="P18" s="90"/>
      <c r="Q18" s="90"/>
      <c r="R18" s="61"/>
      <c r="S18" s="61"/>
      <c r="T18" s="61"/>
      <c r="U18" s="61"/>
      <c r="V18" s="61"/>
      <c r="W18" s="61"/>
      <c r="X18" s="62"/>
      <c r="Y18" s="62"/>
      <c r="Z18" s="87"/>
      <c r="AA18" s="82"/>
      <c r="AB18" s="82"/>
      <c r="AM18" s="82"/>
      <c r="AN18" s="82"/>
      <c r="AO18" s="82"/>
      <c r="AP18" s="82"/>
    </row>
    <row r="19" spans="2:46" ht="16.5" thickBot="1" x14ac:dyDescent="0.4">
      <c r="J19" s="84"/>
      <c r="K19" s="62"/>
      <c r="L19" s="62"/>
      <c r="M19" s="62"/>
      <c r="N19" s="84"/>
      <c r="O19" s="62"/>
      <c r="P19" s="62"/>
      <c r="Q19" s="62"/>
      <c r="R19" s="62"/>
      <c r="S19" s="62"/>
      <c r="T19" s="62"/>
      <c r="U19" s="62"/>
      <c r="V19" s="62"/>
      <c r="W19" s="62"/>
      <c r="X19" s="62"/>
      <c r="Y19" s="62"/>
      <c r="AS19" s="92"/>
      <c r="AT19" s="82"/>
    </row>
    <row r="20" spans="2:46" ht="25.5" customHeight="1" thickBot="1" x14ac:dyDescent="0.4">
      <c r="J20" s="787">
        <f>YEAR(M6)</f>
        <v>1900</v>
      </c>
      <c r="K20" s="788"/>
      <c r="L20" s="788"/>
      <c r="M20" s="788"/>
      <c r="N20" s="788"/>
      <c r="O20" s="789"/>
      <c r="P20" s="790">
        <f>J20+1</f>
        <v>1901</v>
      </c>
      <c r="Q20" s="791"/>
      <c r="R20" s="791"/>
      <c r="S20" s="791"/>
      <c r="T20" s="791"/>
      <c r="U20" s="791"/>
      <c r="V20" s="791"/>
      <c r="W20" s="791"/>
      <c r="X20" s="791"/>
      <c r="Y20" s="791"/>
      <c r="Z20" s="791"/>
      <c r="AA20" s="792"/>
      <c r="AB20" s="772">
        <f>P20+1</f>
        <v>1902</v>
      </c>
      <c r="AC20" s="773"/>
      <c r="AD20" s="773"/>
      <c r="AE20" s="773"/>
      <c r="AF20" s="773"/>
      <c r="AG20" s="774"/>
      <c r="AR20" s="82"/>
      <c r="AS20" s="82"/>
      <c r="AT20" s="82"/>
    </row>
    <row r="21" spans="2:46" ht="15.6" customHeight="1" thickBot="1" x14ac:dyDescent="0.4">
      <c r="B21" s="93"/>
      <c r="C21" s="94"/>
      <c r="D21" s="94"/>
      <c r="E21" s="94"/>
      <c r="F21" s="94"/>
      <c r="G21" s="94"/>
      <c r="H21" s="96"/>
      <c r="I21" s="95"/>
      <c r="J21" s="97" t="s">
        <v>0</v>
      </c>
      <c r="K21" s="98" t="s">
        <v>1</v>
      </c>
      <c r="L21" s="97" t="s">
        <v>0</v>
      </c>
      <c r="M21" s="98" t="s">
        <v>1</v>
      </c>
      <c r="N21" s="97" t="s">
        <v>0</v>
      </c>
      <c r="O21" s="98" t="s">
        <v>1</v>
      </c>
      <c r="P21" s="99" t="s">
        <v>0</v>
      </c>
      <c r="Q21" s="100" t="s">
        <v>1</v>
      </c>
      <c r="R21" s="101"/>
      <c r="S21" s="101"/>
      <c r="T21" s="101"/>
      <c r="U21" s="101"/>
      <c r="V21" s="443" t="s">
        <v>0</v>
      </c>
      <c r="W21" s="797" t="s">
        <v>1</v>
      </c>
      <c r="X21" s="797"/>
      <c r="Y21" s="798"/>
      <c r="Z21" s="99" t="s">
        <v>0</v>
      </c>
      <c r="AA21" s="100" t="s">
        <v>1</v>
      </c>
      <c r="AB21" s="102" t="s">
        <v>0</v>
      </c>
      <c r="AC21" s="103" t="s">
        <v>1</v>
      </c>
      <c r="AD21" s="102" t="s">
        <v>0</v>
      </c>
      <c r="AE21" s="103" t="s">
        <v>1</v>
      </c>
      <c r="AF21" s="102" t="s">
        <v>0</v>
      </c>
      <c r="AG21" s="103" t="s">
        <v>1</v>
      </c>
    </row>
    <row r="22" spans="2:46" ht="16.5" thickBot="1" x14ac:dyDescent="0.4">
      <c r="B22" s="123" t="s">
        <v>110</v>
      </c>
      <c r="C22" s="124"/>
      <c r="D22" s="124"/>
      <c r="E22" s="124"/>
      <c r="F22" s="124"/>
      <c r="G22" s="124"/>
      <c r="H22" s="126"/>
      <c r="I22" s="125"/>
      <c r="J22" s="616">
        <f>IF(OR(ISBLANK($M$6),ISBLANK($N$6)),"",IF(J20=YEAR($M$6),$M$6,""))</f>
        <v>0</v>
      </c>
      <c r="K22" s="328" t="e">
        <f>IF(IF(OR(ISBLANK($M$6),ISBLANK($N$6)),"",IF(J20=YEAR($M$6),$M$6,""))="","",IF(OR(ISBLANK($M$6),ISBLANK($N$6)),"",IF(AND(J20=YEAR($N$6),$V$6&gt;$N$6),$N$6,IF(J20=YEAR($V$6),$V$6-1,IF(J20=YEAR($T$12),$T$12-1,IF(J20=YEAR($T$13),$T$13-1,IF(J20=YEAR($T$14),$T$14-1,IF(J20=YEAR($T$15),$T$15-1,IF(J20=YEAR($T$16),$T$16-1,IF(YEAR($N$6)=J20,$N$6,DATE(J20,12,31)))))))))))</f>
        <v>#VALUE!</v>
      </c>
      <c r="L22" s="327" t="e">
        <f>IF(AND(N6&lt;V6,YEAR(N6)=YEAR(V6))=TRUE,"",IF(OR(ISBLANK(M6),ISBLANK(N6)),"",IF(AND(J20=YEAR($J$20),$V$6&gt;$J$20),"",IF(J20=YEAR($V$6),$V$6,IF(J20=YEAR($T$12),$T$12,IF(J20=YEAR($T$13),$T$13,IF(J20=YEAR($T$14),$T$14,IF(J20=YEAR($T$15),$T$15,IF(J20=YEAR($T$16),$T$16,"")))))))))</f>
        <v>#VALUE!</v>
      </c>
      <c r="M22" s="615" t="e">
        <f>IF(OR(ISBLANK($M$6),ISBLANK($N$6)),"",IF(IF(AND(J20=YEAR($N$6),$V$6&gt;$N$6),"",IF(J20=YEAR($V$6),$V$6,IF(J20=YEAR($T$12),$T$12,IF(J20=YEAR($T$13),$T$13,IF(J20=YEAR($T$14),$T$14,IF(J20=YEAR($T$15),$T$15,IF(J20=YEAR($T$16),$T$16,"")))))))="","",IF(YEAR($N$6)=J20,$N$6,DATE(J20,12,31))))</f>
        <v>#VALUE!</v>
      </c>
      <c r="N22" s="110"/>
      <c r="O22" s="110"/>
      <c r="P22" s="327" t="str">
        <f>IF(OR(ISBLANK($M$6),ISBLANK($N$6)),"",IF(YEAR(N6)&lt;P20,"",IF(P20&lt;YEAR($M$6),$M$6,IF(YEAR($N$6)&gt;=P20,DATE(P20,1,1),""))))</f>
        <v/>
      </c>
      <c r="Q22" s="328" t="str">
        <f>IF(IF(P20&lt;YEAR($M$6),$M$6,IF(YEAR($N$6)&gt;=P20,DATE(P20,1,1),""))="","",IF(AND(MONTH(1)=MONTH($V$6),P20=YEAR($N$6)),$N$6,IF(AND($V$6&lt;$N$6,$N$6&gt;$T$12,),$N$6,IF(MONTH(1)=MONTH($V$6),DATE(P20,12,31),IF(AND(P20=YEAR($N$6),$V$6&gt;$N$6),$N$6,IF(P20=YEAR($V$6),$V$6-1,IF(P20=YEAR($T$12),$T$12-1,IF(P20=YEAR($T$13),$T$13-1,IF(P20=YEAR($T$14),$T$14-1,IF(P20=YEAR($T$15),$T$15-1,IF(P20=YEAR($T$16),$T$16-1,IF(YEAR($N$6)=P20,$N$6,DATE(P20,12,31)))))))))))))</f>
        <v/>
      </c>
      <c r="R22" s="108"/>
      <c r="S22" s="109"/>
      <c r="T22" s="108"/>
      <c r="U22" s="110"/>
      <c r="V22" s="327" t="str">
        <f>IF(IF(OR(ISBLANK($M$6),ISBLANK($N$6)),"",IF(P20&lt;YEAR($M$6),$M$6,IF(YEAR($N$6)&gt;=P20,DATE(P20,1,1),"")))="","",IF(MONTH(1)=MONTH($V$6),"",IF(AND(P20=YEAR($N$6),$V$6&gt;$N$6),"",IF(P20=YEAR($V$6),$V$6,IF(P20=YEAR($T$12),$T$12,IF(P20=YEAR($T$13),$T$13,IF(P20=YEAR($T$14),$T$14,IF(P20=YEAR($T$15),$T$15,IF(P20=YEAR($T$16),$T$16,"")))))))))</f>
        <v/>
      </c>
      <c r="W22" s="794" t="str">
        <f>IF(IF(OR(ISBLANK($M$6),ISBLANK($N$6)),"",IF(P20&lt;YEAR($M$6),$M$6,IF(YEAR($N$6)&gt;=P20,DATE(P20,1,1),"")))="","",IF(MONTH(1)=MONTH($V$6),"",IF(IF(AND(P20=YEAR($N$6),$V$6&gt;$N$6),"",IF(P20=YEAR($V$6),$V$6,IF(P20=YEAR($T$12),$T$12,IF(P20=YEAR($T$13),$T$13,IF(P20=YEAR($T$14),$T$14,IF(P20=YEAR($T$15),$T$15,IF(P20=YEAR($T$16),$T$16,"")))))))="","",IF(YEAR($N$6)=P20,$N$6,DATE(P20,12,31)))))</f>
        <v/>
      </c>
      <c r="X22" s="794"/>
      <c r="Y22" s="795"/>
      <c r="Z22" s="108"/>
      <c r="AA22" s="109"/>
      <c r="AB22" s="327" t="str">
        <f>IF(AB20&lt;YEAR($M$6),$M$6,IF(YEAR($N$6)&gt;=AB20,DATE(AB20,1,1),""))</f>
        <v/>
      </c>
      <c r="AC22" s="328" t="str">
        <f>IF(IF(AB20&lt;YEAR($M$6),$M$6,IF(YEAR($N$6)&gt;=AB20,DATE(AB20,1,1),""))="","",IF(AND(MONTH(1)=MONTH($V$6),AB20=YEAR($N$6)),$N$6,IF(AND($V$6&lt;$N$6,$N$6&gt;$T$12,),$N$6,IF(MONTH(1)=MONTH($V$6),DATE(AB20,12,31),IF(AND(AB20=YEAR($N$6),$V$6&gt;$N$6),$N$6,IF(AB20=YEAR($V$6),$V$6-1,IF(AB20=YEAR($T$12),$T$12-1,IF(AB20=YEAR($T$13),$T$13-1,IF(AB20=YEAR($T$14),$T$14-1,IF(AB20=YEAR($T$15),$T$15-1,IF(AB20=YEAR($T$16),$T$16-1,IF(YEAR($N$6)=AB20,$N$6,DATE(AB20,12,31)))))))))))))</f>
        <v/>
      </c>
      <c r="AD22" s="327" t="str">
        <f>IF(IF(OR(ISBLANK($M$6),ISBLANK($N$6)),"",IF(AB20&lt;YEAR($M$6),$M$6,IF(YEAR($N$6)&gt;=AB20,DATE(AB20,1,1),"")))="","",IF(MONTH(1)=MONTH($V$6),"",IF(AND(AB20=YEAR($N$6),$V$6&gt;$N$6),"",IF(AB20=YEAR($V$6),$V$6,IF(AB20=YEAR($T$12),$T$12,IF(AB20=YEAR($T$13),$T$13,IF(AB20=YEAR($T$14),$T$14,IF(AB20=YEAR($T$15),$T$15,IF(AB20=YEAR($T$16),$T$16,IF($N$6&lt;$T$12,"",""))))))))))</f>
        <v/>
      </c>
      <c r="AE22" s="615" t="str">
        <f>IF(AD22="","",IF(IF(OR(ISBLANK($M$6),ISBLANK($N$6)),"",IF(AB20&lt;YEAR($M$6),$M$6,IF(YEAR($N$6)&gt;=AB20,DATE(AB20,1,1),"")))="","",IF(MONTH(1)=MONTH($V$6),"",IF(IF(AND(AB20=YEAR($N$6),$V$6&gt;$N$6),"",IF(AB20=YEAR($V$6),$V$6,IF(AB20=YEAR($T$12),$T$12,IF(AB20=YEAR($T$13),$T$13,IF(AB20=YEAR($T$14),$T$14,IF(AB20=YEAR($T$15),$T$15,IF(AB20=YEAR($T$16),$T$16,"")))))))="","",IF(YEAR($N$6)=AB20,$N$6,DATE(AB20,12,31))))))</f>
        <v/>
      </c>
      <c r="AF22" s="110"/>
      <c r="AG22" s="109"/>
    </row>
    <row r="23" spans="2:46" ht="16.5" hidden="1" outlineLevel="1" thickBot="1" x14ac:dyDescent="0.4">
      <c r="B23" s="442"/>
      <c r="C23" s="105"/>
      <c r="D23" s="105"/>
      <c r="E23" s="105"/>
      <c r="F23" s="105"/>
      <c r="G23" s="105"/>
      <c r="H23" s="82"/>
      <c r="I23" s="105"/>
      <c r="J23" s="441" t="e">
        <f>IF(J22="",0,(EOMONTH(J22,0)-J22+1)/(EOMONTH(J22,0)-EOMONTH(J22,-1))+(K22-EOMONTH(K22,-1))/(EOMONTH(K22,0)-EOMONTH(K22,-1))+MONTH(K22)-MONTH(J22)-1+(YEAR(K22)-YEAR(J22))*12)</f>
        <v>#NUM!</v>
      </c>
      <c r="K23" s="112" t="e">
        <f>IF(AND(DAY(J22)&gt;1,MONTH(J22)&lt;&gt;MONTH(K22)),30-DAY(J22)+1,IF(J22="",0,(IF(MONTH(J22)=MONTH(K22),IF(OR(K22=C57,K22=C58,K22=C59,K22=C60,K22=C61,K22=C62,K22=C63,K22=C64,K22=C65,K22=C66,K22=C67,K22=C68),30-DAY(J22)+1,IF(MONTH(J22)=MONTH(K22),DAY(K22)-DAY(J22)+1,0))))))</f>
        <v>#VALUE!</v>
      </c>
      <c r="L23" s="111" t="e">
        <f>IF(L22="",0,(EOMONTH(L22,0)-L22+1)/(EOMONTH(L22,0)-EOMONTH(L22,-1))+(M22-EOMONTH(M22,-1))/(EOMONTH(M22,0)-EOMONTH(M22,-1))+MONTH(M22)-MONTH(L22)-1+(YEAR(M22)-YEAR(L22))*12)</f>
        <v>#VALUE!</v>
      </c>
      <c r="M23" s="112" t="e">
        <f>IF(L22="",0,IF(AND(DAY(L22)=1,MONTH(L22)&lt;&gt;MONTH(M22)),30,IF(AND(DAY(L22)&gt;1,MONTH(L22)&lt;&gt;MONTH(M22)),30-DAY(L22)+1,IF(MONTH(L22)=MONTH(M22),IF(OR(M22=C57,M22=C58,M22=C59,M22=C60,M22=C61,M22=C62,M22=C63,M22=C64,M22=C65,M22=C66,M22=C67,M22=C68),30-DAY(L22)+1,IF(MONTH(L22)=MONTH(M22),DAY(M22)-DAY(L22)+1,0))))))</f>
        <v>#VALUE!</v>
      </c>
      <c r="N23" s="111">
        <f>IF(N22="",0,(EOMONTH(N22,0)-N22+1)/(EOMONTH(N22,0)-EOMONTH(N22,-1))+(O22-EOMONTH(O22,-1))/(EOMONTH(O22,0)-EOMONTH(O22,-1))+MONTH(O22)-MONTH(N22)-1+(YEAR(O22)-YEAR(N22))*12)</f>
        <v>0</v>
      </c>
      <c r="O23" s="112">
        <f>IF(N22="",0,IF(AND(DAY(N22)=1,MONTH(N22)&lt;&gt;MONTH(O22)),30,IF(AND(DAY(N22)&gt;1,MONTH(N22)&lt;&gt;MONTH(O22)),30-DAY(N22)+1,IF(MONTH(N22)=MONTH(O22),IF(OR(O22=C57,O22=C58,O22=C59,O22=C60,O22=C61,O22=C62,O22=C63,O22=C64,O22=C65,O22=C66,O22=C67,O22=C68),30-DAY(N22)+1,IF(MONTH(N22)=MONTH(O22),DAY(O22)-DAY(N22)+1,0))))))</f>
        <v>0</v>
      </c>
      <c r="P23" s="111">
        <f>IF(P22="",0,(EOMONTH(P22,0)-P22+1)/(EOMONTH(P22,0)-EOMONTH(P22,-1))+(Q22-EOMONTH(Q22,-1))/(EOMONTH(Q22,0)-EOMONTH(Q22,-1))+MONTH(Q22)-MONTH(P22)-1+(YEAR(Q22)-YEAR(P22))*12)</f>
        <v>0</v>
      </c>
      <c r="Q23" s="113" t="e">
        <f>IF(AND(DAY(P22)&gt;1,MONTH(P22)&lt;&gt;MONTH(Q22)),30-DAY(P22)+1,IF(P22="",0,(IF(MONTH(P22)=MONTH(Q22),IF(OR(Q22=R57,Q22=R58,Q22=R59,Q22=R60,Q22=R61,Q22=R62,Q22=R63,Q22=R64,Q22=R65,Q22=R66,Q22=R67,Q22=R68),30-DAY(P22)+1,IF(MONTH(P22)=MONTH(Q22),DAY(Q22)-DAY(P22)+1,0))))))</f>
        <v>#VALUE!</v>
      </c>
      <c r="R23" s="114"/>
      <c r="S23" s="114"/>
      <c r="T23" s="114"/>
      <c r="U23" s="114"/>
      <c r="V23" s="111">
        <f>IF(V22="",0,(EOMONTH(V22,0)-V22+1)/(EOMONTH(V22,0)-EOMONTH(V22,-1))+(W22-EOMONTH(W22,-1))/(EOMONTH(W22,0)-EOMONTH(W22,-1))+MONTH(W22)-MONTH(V22)-1+(YEAR(W22)-YEAR(V22))*12)</f>
        <v>0</v>
      </c>
      <c r="W23" s="112">
        <f>IF(V22="",0,IF(AND(DAY(V22)=1,MONTH(V22)&lt;&gt;MONTH(W22)),30,IF(AND(DAY(V22)&gt;1,MONTH(V22)&lt;&gt;MONTH(W22)),30-DAY(V22)+1,IF(MONTH(V22)=MONTH(W22),IF(OR(W22=R57,W22=R58,W22=R59,W22=R60,W22=R61,W22=R62,W22=R63,W22=R64,W22=R65,W22=R66,W22=R67,W22=R68),30-DAY(V22)+1,IF(MONTH(V22)=MONTH(W22),DAY(W22)-DAY(V22)+1,0))))))</f>
        <v>0</v>
      </c>
      <c r="X23" s="115"/>
      <c r="Y23" s="115"/>
      <c r="Z23" s="111">
        <f>IF(Z22="",0,(EOMONTH(Z22,0)-Z22+1)/(EOMONTH(Z22,0)-EOMONTH(Z22,-1))+(AA22-EOMONTH(AA22,-1))/(EOMONTH(AA22,0)-EOMONTH(AA22,-1))+MONTH(AA22)-MONTH(Z22)-1+(YEAR(AA22)-YEAR(Z22))*12)</f>
        <v>0</v>
      </c>
      <c r="AA23" s="112">
        <f>IF(Z22="",0,IF(AND(DAY(Z22)=1,MONTH(Z22)&lt;&gt;MONTH(AA22)),30,IF(AND(DAY(Z22)&gt;1,MONTH(Z22)&lt;&gt;MONTH(AA22)),30-DAY(Z22)+1,IF(MONTH(Z22)=MONTH(AA22),IF(OR(AA22=R57,AA22=R58,AA22=R59,AA22=R60,AA22=R61,AA22=R62,AA22=R63,AA22=R64,AA22=R65,AA22=R66,AA22=R67,AA22=R68),30-DAY(Z22)+1,IF(MONTH(Z22)=MONTH(AA22),DAY(AA22)-DAY(Z22)+1,0))))))</f>
        <v>0</v>
      </c>
      <c r="AB23" s="111">
        <f>IF(AB22="",0,(EOMONTH(AB22,0)-AB22+1)/(EOMONTH(AB22,0)-EOMONTH(AB22,-1))+(AC22-EOMONTH(AC22,-1))/(EOMONTH(AC22,0)-EOMONTH(AC22,-1))+MONTH(AC22)-MONTH(AB22)-1+(YEAR(AC22)-YEAR(AB22))*12)</f>
        <v>0</v>
      </c>
      <c r="AC23" s="112" t="e">
        <f>IF(AND(DAY(AB22)&gt;1,MONTH(AB22)&lt;&gt;MONTH(AC22)),30-DAY(AB22)+1,IF(AB22="",0,(IF(MONTH(AB22)=MONTH(AC22),IF(OR(AC22=AH57,AC22=AH58,AC22=AH59,AC22=AH60,AC22=AH61,AC22=AH62,AC22=AH63,AC22=AH64,AC22=AH65,AC22=AH66,AC22=AH67,AC22=AH68),30-DAY(AB22)+1,IF(MONTH(AB22)=MONTH(AC22),DAY(AC22)-DAY(AB22)+1,0))))))</f>
        <v>#VALUE!</v>
      </c>
      <c r="AD23" s="111">
        <f>IF(AD22="",0,(EOMONTH(AD22,0)-AD22+1)/(EOMONTH(AD22,0)-EOMONTH(AD22,-1))+(AE22-EOMONTH(AE22,-1))/(EOMONTH(AE22,0)-EOMONTH(AE22,-1))+MONTH(AE22)-MONTH(AD22)-1+(YEAR(AE22)-YEAR(AD22))*12)</f>
        <v>0</v>
      </c>
      <c r="AE23" s="112">
        <f>IF(AD22="",0,IF(AND(DAY(AD22)=1,MONTH(AD22)&lt;&gt;MONTH(AE22)),30,IF(AND(DAY(AD22)&gt;1,MONTH(AD22)&lt;&gt;MONTH(AE22)),30-DAY(AD22)+1,IF(MONTH(AD22)=MONTH(AE22),IF(OR(AE22=AH57,AE22=AH58,AE22=AH59,AE22=AH60,AE22=AH61,AE22=AH62,AE22=AH63,AE22=AH64,AE22=AH65,AE22=AH66,AE22=AH67,AE22=AH68),30-DAY(AD22)+1,IF(MONTH(AD22)=MONTH(AE22),DAY(AE22)-DAY(AD22)+1,0))))))</f>
        <v>0</v>
      </c>
      <c r="AF23" s="111">
        <f>IF(AF22="",0,(EOMONTH(AF22,0)-AF22+1)/(EOMONTH(AF22,0)-EOMONTH(AF22,-1))+(AG22-EOMONTH(AG22,-1))/(EOMONTH(AG22,0)-EOMONTH(AG22,-1))+MONTH(AG22)-MONTH(AF22)-1+(YEAR(AG22)-YEAR(AF22))*12)</f>
        <v>0</v>
      </c>
      <c r="AG23" s="112">
        <f>IF(AF22="",0,IF(AND(DAY(AF22)=1,MONTH(AF22)&lt;&gt;MONTH(AG22)),30,IF(AND(DAY(AF22)&gt;1,MONTH(AF22)&lt;&gt;MONTH(AG22)),30-DAY(AF22)+1,IF(MONTH(AF22)=MONTH(AG22),IF(OR(AG22=AH57,AG22=AH58,AG22=AH59,AG22=AH60,AG22=AH61,AG22=AH62,AG22=AH63,AG22=AH64,AG22=AH65,AG22=AH66,AG22=AH67,AG22=AH68),30-DAY(AF22)+1,IF(MONTH(AF22)=MONTH(AG22),DAY(AG22)-DAY(AF22)+1,0))))))</f>
        <v>0</v>
      </c>
    </row>
    <row r="24" spans="2:46" ht="16.5" collapsed="1" thickBot="1" x14ac:dyDescent="0.4">
      <c r="B24" s="116" t="s">
        <v>2</v>
      </c>
      <c r="C24" s="117"/>
      <c r="D24" s="117"/>
      <c r="E24" s="117"/>
      <c r="F24" s="117"/>
      <c r="G24" s="117"/>
      <c r="H24" s="117"/>
      <c r="I24" s="118"/>
      <c r="J24" s="669" t="e">
        <f>IF(J22="",0,(J27*J31)*(J32+100%))</f>
        <v>#N/A</v>
      </c>
      <c r="K24" s="670"/>
      <c r="L24" s="671" t="e">
        <f>IF(L22="",0,(L27*L31)*(L32+100%))</f>
        <v>#VALUE!</v>
      </c>
      <c r="M24" s="670"/>
      <c r="N24" s="671">
        <f>IF(N22="",0,(N27*N31)*(N32+100%))</f>
        <v>0</v>
      </c>
      <c r="O24" s="670"/>
      <c r="P24" s="671">
        <f>IF(P22="",0,(P27*P31)*(P32+100%))</f>
        <v>0</v>
      </c>
      <c r="Q24" s="670"/>
      <c r="R24" s="119"/>
      <c r="S24" s="119"/>
      <c r="T24" s="119"/>
      <c r="U24" s="119"/>
      <c r="V24" s="671">
        <f>IF(V22="",0,(V27*V31)*(V32+100%))</f>
        <v>0</v>
      </c>
      <c r="W24" s="669"/>
      <c r="X24" s="669"/>
      <c r="Y24" s="670"/>
      <c r="Z24" s="671">
        <f>IF(Z22="",0,(Z27*Z31)*(Z32+100%))</f>
        <v>0</v>
      </c>
      <c r="AA24" s="670"/>
      <c r="AB24" s="671">
        <f>IF(AB22="",0,(AB27*AB31)*(AB32+100%))</f>
        <v>0</v>
      </c>
      <c r="AC24" s="670"/>
      <c r="AD24" s="671">
        <f>IF(AD22="",0,(AD27*AD31)*(AD32+100%))</f>
        <v>0</v>
      </c>
      <c r="AE24" s="670"/>
      <c r="AF24" s="671">
        <f>IF(AF22="",0,(AF27*AF31)*(AF32+100%))</f>
        <v>0</v>
      </c>
      <c r="AG24" s="670"/>
    </row>
    <row r="25" spans="2:46" x14ac:dyDescent="0.35">
      <c r="B25" s="120" t="s">
        <v>3</v>
      </c>
      <c r="C25" s="94"/>
      <c r="D25" s="94"/>
      <c r="E25" s="94"/>
      <c r="F25" s="94"/>
      <c r="G25" s="94"/>
      <c r="H25" s="121"/>
      <c r="I25" s="95"/>
      <c r="J25" s="672" t="str">
        <f>IF(J22="","",P6)</f>
        <v>Bitte auswählen</v>
      </c>
      <c r="K25" s="673"/>
      <c r="L25" s="674" t="e">
        <f>IF(L22="","",IF(IF(OR(ISBLANK(M6),ISBLANK(N6)),"",IF(AND(J20=YEAR($J$20),$V$6&gt;$J$20),"",IF(J20=YEAR($V$6),$V$6,IF(J20=YEAR($T$12),$T$12,IF(J20=YEAR($T$13),$T$13,IF(J20=YEAR($T$14),$T$14,IF(J20=YEAR($T$15),$T$15,IF(J20=YEAR($T$16),$T$16,""))))))))="","",$P$6))</f>
        <v>#VALUE!</v>
      </c>
      <c r="M25" s="673"/>
      <c r="N25" s="675"/>
      <c r="O25" s="676"/>
      <c r="P25" s="716" t="str">
        <f>IF(IF(OR(ISBLANK($M$6),ISBLANK($N$6)),"",IF(P20&lt;YEAR($M$6),$M$6,IF(YEAR($N$6)&gt;=P20,DATE(P20,1,1),"")))="","",$P$6)</f>
        <v/>
      </c>
      <c r="Q25" s="717"/>
      <c r="R25" s="330"/>
      <c r="S25" s="330"/>
      <c r="T25" s="330"/>
      <c r="U25" s="330"/>
      <c r="V25" s="674" t="e">
        <f>IF(OR(V22=$V$6,V22=$T$12,V22=$T$13,V22=$T$14,V22=$T$15,V22=$T$16),P25,"")</f>
        <v>#VALUE!</v>
      </c>
      <c r="W25" s="672"/>
      <c r="X25" s="672"/>
      <c r="Y25" s="673"/>
      <c r="Z25" s="731"/>
      <c r="AA25" s="732"/>
      <c r="AB25" s="674" t="str">
        <f>IF(IF(OR(ISBLANK($M$6),ISBLANK($N$6)),"",IF(AB20&lt;YEAR($M$6),$M$6,IF(YEAR($N$6)&gt;=AB20,DATE(AB20,1,1),"")))="","",$P$6)</f>
        <v/>
      </c>
      <c r="AC25" s="673"/>
      <c r="AD25" s="716" t="e">
        <f>IF(OR(AD22=$V$6,AD22=$T$12,AD22=$T$13,AD22=$T$14,AD22=$T$15,AD22=$T$16),AB25,"")</f>
        <v>#VALUE!</v>
      </c>
      <c r="AE25" s="717"/>
      <c r="AF25" s="731"/>
      <c r="AG25" s="732"/>
    </row>
    <row r="26" spans="2:46" ht="18" thickBot="1" x14ac:dyDescent="0.4">
      <c r="B26" s="123" t="s">
        <v>171</v>
      </c>
      <c r="C26" s="124"/>
      <c r="D26" s="124"/>
      <c r="E26" s="124"/>
      <c r="F26" s="124"/>
      <c r="G26" s="124"/>
      <c r="H26" s="126"/>
      <c r="I26" s="125"/>
      <c r="J26" s="793" t="str">
        <f>IF(ISBLANK(Q6),"",Q6)</f>
        <v>Bitte auswählen</v>
      </c>
      <c r="K26" s="717"/>
      <c r="L26" s="716" t="e">
        <f>IF(ISBLANK(V6),"",IF(L22=$V$6,$S$12,IF(L22=$T$12,$S$13,IF(L22=$T$13,$S$14,IF(L22=$T$14,$S$15,IF(L22=$T$15,$S$16,""))))))</f>
        <v>#VALUE!</v>
      </c>
      <c r="M26" s="717"/>
      <c r="N26" s="675"/>
      <c r="O26" s="676"/>
      <c r="P26" s="755" t="str">
        <f>IF(P22="","",IF(P22=$V$6,S12,IF(YEAR(N6)&lt;P20,"",IF(IF(L22=$V$6,$S$12,IF(L22=$T$12,$S$13,IF(L22=$T$13,$S$14,IF(L22=$T$14,$S$15,IF(L22=$T$15,$S$16,"")))))="",J26,L26))))</f>
        <v/>
      </c>
      <c r="Q26" s="756"/>
      <c r="R26" s="330"/>
      <c r="S26" s="330"/>
      <c r="T26" s="330"/>
      <c r="U26" s="330"/>
      <c r="V26" s="785" t="str">
        <f>IF(V22="","",IF(ISBLANK(Q6),"",IF(V22=$V$6,$S$12,IF(V22=$T$12,$S$13,IF(V22=$T$13,$S$14,IF(V22=$T$14,$S$15,IF(V22=$T$15,$S$16,"")))))))</f>
        <v/>
      </c>
      <c r="W26" s="796"/>
      <c r="X26" s="796"/>
      <c r="Y26" s="786"/>
      <c r="Z26" s="722"/>
      <c r="AA26" s="723"/>
      <c r="AB26" s="716" t="str">
        <f>IF(AB22="","",IF(AB22=$V$6,$S$12,IF(AB22=$T$12,$S$13,IF(AB22=$T$13,$S$14,IF(AB22=$T$14,$S$15,IF(AB22=$T$15,$S$16,IF(V26="",P26,V26)))))))</f>
        <v/>
      </c>
      <c r="AC26" s="717"/>
      <c r="AD26" s="785" t="str">
        <f>IF(AD22="","",IF(ISBLANK(V6),"",IF(AD22=$V$6,$S$12,IF(AD22=$T$12,$S$13,IF(AD22=$T$13,$S$14,IF(AD22=$T$14,$S$15,IF(AD22=$T$15,$S$16,"")))))))</f>
        <v/>
      </c>
      <c r="AE26" s="786"/>
      <c r="AF26" s="722"/>
      <c r="AG26" s="723"/>
    </row>
    <row r="27" spans="2:46" x14ac:dyDescent="0.35">
      <c r="B27" s="120" t="s">
        <v>4</v>
      </c>
      <c r="C27" s="94"/>
      <c r="D27" s="94"/>
      <c r="E27" s="94"/>
      <c r="F27" s="94"/>
      <c r="G27" s="94"/>
      <c r="H27" s="121"/>
      <c r="I27" s="95"/>
      <c r="J27" s="739">
        <f>IF(ISERROR(INDEX(EntgelteJahr1,MATCH(J25,GruppeJahr1,0),MATCH(J26,StufeJahr1,0))),0,INDEX(EntgelteJahr1,MATCH(J25,GruppeJahr1,0),MATCH(J26,StufeJahr1,0)))</f>
        <v>0</v>
      </c>
      <c r="K27" s="715"/>
      <c r="L27" s="714">
        <f>IF(ISERROR(INDEX(EntgelteJahr1,MATCH(L25,GruppeJahr1,0),MATCH(L26,StufeJahr1,0))),0,INDEX(EntgelteJahr1,MATCH(L25,GruppeJahr1,0),MATCH(L26,StufeJahr1,0)))</f>
        <v>0</v>
      </c>
      <c r="M27" s="715"/>
      <c r="N27" s="714">
        <f>IF(ISERROR(INDEX(EntgelteJahr1,MATCH(N25,GruppeJahr1,0),MATCH(N26,StufeJahr1,0))),0,INDEX(EntgelteJahr1,MATCH(N25,GruppeJahr1,0),MATCH(N26,StufeJahr1,0)))</f>
        <v>0</v>
      </c>
      <c r="O27" s="715"/>
      <c r="P27" s="714">
        <f>IF(ISERROR(INDEX(EntgelteJahr2,MATCH(P25,GruppeJahr2,0),MATCH(P26,StufeJahr2,0))),0,INDEX(EntgelteJahr2,MATCH(P25,GruppeJahr2,0),MATCH(P26,StufeJahr2,0)))</f>
        <v>0</v>
      </c>
      <c r="Q27" s="715"/>
      <c r="R27" s="122"/>
      <c r="S27" s="122"/>
      <c r="T27" s="122"/>
      <c r="U27" s="122"/>
      <c r="V27" s="714">
        <f>IF(ISERROR(INDEX(EntgelteJahr2,MATCH(V25,GruppeJahr2,0),MATCH(V26,StufeJahr2,0))),0,INDEX(EntgelteJahr2,MATCH(V25,GruppeJahr2,0),MATCH(V26,StufeJahr2,0)))</f>
        <v>0</v>
      </c>
      <c r="W27" s="739"/>
      <c r="X27" s="739"/>
      <c r="Y27" s="715"/>
      <c r="Z27" s="714">
        <f>IF(ISERROR(INDEX(EntgelteJahr2,MATCH(Z25,GruppeJahr2,0),MATCH(Z26,StufeJahr2,0))),0,INDEX(EntgelteJahr2,MATCH(Z25,GruppeJahr2,0),MATCH(Z26,StufeJahr2,0)))</f>
        <v>0</v>
      </c>
      <c r="AA27" s="715"/>
      <c r="AB27" s="714">
        <f>IF(ISERROR(INDEX(EntgelteJahr3,MATCH(AB25,GruppeJahr3,0),MATCH(AB26,StufeJahr3,0))),0,INDEX(EntgelteJahr3,MATCH(AB25,GruppeJahr3,0),MATCH(AB26,StufeJahr3,0)))</f>
        <v>0</v>
      </c>
      <c r="AC27" s="715"/>
      <c r="AD27" s="714">
        <f>IF(ISERROR(INDEX(EntgelteJahr3,MATCH(AD25,GruppeJahr3,0),MATCH(AD26,StufeJahr3,0))),0,INDEX(EntgelteJahr3,MATCH(AD25,GruppeJahr3,0),MATCH(AD26,StufeJahr3,0)))</f>
        <v>0</v>
      </c>
      <c r="AE27" s="715"/>
      <c r="AF27" s="714">
        <f>IF(ISERROR(INDEX(EntgelteJahr3,MATCH(AF25,GruppeJahr3,0),MATCH(AF26,StufeJahr3,0))),0,INDEX(EntgelteJahr3,MATCH(AF25,GruppeJahr3,0),MATCH(AF26,StufeJahr3,0)))</f>
        <v>0</v>
      </c>
      <c r="AG27" s="715"/>
    </row>
    <row r="28" spans="2:46" ht="17.25" x14ac:dyDescent="0.35">
      <c r="B28" s="104" t="s">
        <v>172</v>
      </c>
      <c r="C28" s="105"/>
      <c r="D28" s="105"/>
      <c r="E28" s="105"/>
      <c r="F28" s="105"/>
      <c r="G28" s="105"/>
      <c r="H28" s="107"/>
      <c r="I28" s="106"/>
      <c r="J28" s="754">
        <f>IF(ISERROR(INDEX(JszJahr1,MATCH(J25,JszGrJahr1,0),MATCH(J26,JszStJahr1,0))),0,(INDEX(JszJahr1,MATCH(J25,JszGrJahr1,0),MATCH(J26,JszStJahr1,0))))</f>
        <v>0</v>
      </c>
      <c r="K28" s="713"/>
      <c r="L28" s="712">
        <f>IF(ISERROR(INDEX(JszJahr1,MATCH(L25,JszGrJahr1,0),MATCH(L26,JszStJahr1,0))),0,(INDEX(JszJahr1,MATCH(L25,JszGrJahr1,0),MATCH(L26,JszStJahr1,0))))</f>
        <v>0</v>
      </c>
      <c r="M28" s="713"/>
      <c r="N28" s="712">
        <f>IF(ISERROR(INDEX(JszJahr1,MATCH(N25,JszGrJahr1,0),MATCH(N26,JszStJahr1,0))),0,(INDEX(JszJahr1,MATCH(N25,JszGrJahr1,0),MATCH(N26,JszStJahr1,0))))</f>
        <v>0</v>
      </c>
      <c r="O28" s="713"/>
      <c r="P28" s="712">
        <f>IF(ISERROR(INDEX(JszJahr2,MATCH(P25,JszGrJahr2,0),MATCH(P26,JszStJahr2,0))),0,(INDEX(JszJahr2,MATCH(P25,JszGrJahr2,0),MATCH(P26,JszStJahr2,0))))</f>
        <v>0</v>
      </c>
      <c r="Q28" s="713"/>
      <c r="R28" s="362"/>
      <c r="S28" s="362"/>
      <c r="T28" s="362"/>
      <c r="U28" s="362"/>
      <c r="V28" s="754">
        <f>IF(ISERROR(INDEX(JszJahr2,MATCH(V25,JszGrJahr2,0),MATCH(V26,JszStJahr2,0))),0,(INDEX(JszJahr2,MATCH(V25,JszGrJahr2,0),MATCH(V26,JszStJahr2,0))))</f>
        <v>0</v>
      </c>
      <c r="W28" s="754"/>
      <c r="X28" s="754"/>
      <c r="Y28" s="713"/>
      <c r="Z28" s="754">
        <f>IF(ISERROR(INDEX(JszJahr2,MATCH(Z25,JszGrJahr2,0),MATCH(Z26,JszStJahr2,0))),0,(INDEX(JszJahr2,MATCH(Z25,JszGrJahr2,0),MATCH(Z26,JszStJahr2,0))))</f>
        <v>0</v>
      </c>
      <c r="AA28" s="713"/>
      <c r="AB28" s="712">
        <f>IF(ISERROR(INDEX(JszJahr3,MATCH(AB25,JszGrJahr3,0),MATCH(AB26,JszStJahr3,0))),0,(INDEX(JszJahr3,MATCH(AB25,JszGrJahr3,0),MATCH(AB26,JszStJahr3,0))))</f>
        <v>0</v>
      </c>
      <c r="AC28" s="713"/>
      <c r="AD28" s="712">
        <f>IF(ISERROR(INDEX(JszJahr3,MATCH(AD25,JszGrJahr3,0),MATCH(AD26,JszStJahr3,0))),0,(INDEX(JszJahr3,MATCH(AD25,JszGrJahr3,0),MATCH(AD26,JszStJahr3,0))))</f>
        <v>0</v>
      </c>
      <c r="AE28" s="713"/>
      <c r="AF28" s="712">
        <f>IF(ISERROR(INDEX(JszJahr3,MATCH(AF25,JszGrJahr3,0),MATCH(AF26,JszStJahr3,0))),0,(INDEX(JszJahr3,MATCH(AF25,JszGrJahr3,0),MATCH(AF26,JszStJahr3,0))))</f>
        <v>0</v>
      </c>
      <c r="AG28" s="713"/>
    </row>
    <row r="29" spans="2:46" ht="16.5" hidden="1" outlineLevel="1" thickBot="1" x14ac:dyDescent="0.4">
      <c r="B29" s="104" t="s">
        <v>43</v>
      </c>
      <c r="C29" s="105"/>
      <c r="D29" s="105"/>
      <c r="E29" s="105"/>
      <c r="F29" s="105"/>
      <c r="G29" s="105"/>
      <c r="H29" s="107"/>
      <c r="I29" s="106"/>
      <c r="J29" s="743" t="e">
        <f>IF(SUM(D68:F68)&gt;0,"ja","nein")</f>
        <v>#VALUE!</v>
      </c>
      <c r="K29" s="757"/>
      <c r="L29" s="757"/>
      <c r="M29" s="757"/>
      <c r="N29" s="757"/>
      <c r="O29" s="757"/>
      <c r="P29" s="740" t="str">
        <f>IF(SUM(S68:U68)&gt;0,"ja","nein")</f>
        <v>nein</v>
      </c>
      <c r="Q29" s="741"/>
      <c r="R29" s="741"/>
      <c r="S29" s="741"/>
      <c r="T29" s="741"/>
      <c r="U29" s="741"/>
      <c r="V29" s="742"/>
      <c r="W29" s="742"/>
      <c r="X29" s="742"/>
      <c r="Y29" s="742"/>
      <c r="Z29" s="741"/>
      <c r="AA29" s="743"/>
      <c r="AB29" s="707" t="str">
        <f>IF(SUM(AI68:AK68)&gt;0,"ja","nein")</f>
        <v>nein</v>
      </c>
      <c r="AC29" s="708"/>
      <c r="AD29" s="708"/>
      <c r="AE29" s="708"/>
      <c r="AF29" s="708"/>
      <c r="AG29" s="709"/>
    </row>
    <row r="30" spans="2:46" ht="16.5" collapsed="1" thickBot="1" x14ac:dyDescent="0.4">
      <c r="B30" s="123" t="s">
        <v>111</v>
      </c>
      <c r="C30" s="124"/>
      <c r="D30" s="124"/>
      <c r="E30" s="124"/>
      <c r="F30" s="124"/>
      <c r="G30" s="124"/>
      <c r="H30" s="126"/>
      <c r="I30" s="125"/>
      <c r="J30" s="750">
        <f>StundenJahr1</f>
        <v>39</v>
      </c>
      <c r="K30" s="725"/>
      <c r="L30" s="724">
        <f>StundenJahr1</f>
        <v>39</v>
      </c>
      <c r="M30" s="725"/>
      <c r="N30" s="724">
        <f>StundenJahr1</f>
        <v>39</v>
      </c>
      <c r="O30" s="725"/>
      <c r="P30" s="737">
        <f>StundenJahr2</f>
        <v>39</v>
      </c>
      <c r="Q30" s="738"/>
      <c r="R30" s="127"/>
      <c r="S30" s="127"/>
      <c r="T30" s="127"/>
      <c r="U30" s="127"/>
      <c r="V30" s="758">
        <f>StundenJahr2</f>
        <v>39</v>
      </c>
      <c r="W30" s="758"/>
      <c r="X30" s="758"/>
      <c r="Y30" s="738"/>
      <c r="Z30" s="758">
        <f>StundenJahr2</f>
        <v>39</v>
      </c>
      <c r="AA30" s="738"/>
      <c r="AB30" s="724">
        <f>StundenJahr3</f>
        <v>39</v>
      </c>
      <c r="AC30" s="725"/>
      <c r="AD30" s="724">
        <f>StundenJahr3</f>
        <v>39</v>
      </c>
      <c r="AE30" s="725"/>
      <c r="AF30" s="724">
        <f>StundenJahr3</f>
        <v>39</v>
      </c>
      <c r="AG30" s="725"/>
    </row>
    <row r="31" spans="2:46" ht="16.5" thickBot="1" x14ac:dyDescent="0.4">
      <c r="B31" s="120" t="s">
        <v>89</v>
      </c>
      <c r="C31" s="94"/>
      <c r="D31" s="94"/>
      <c r="E31" s="94"/>
      <c r="F31" s="94"/>
      <c r="G31" s="94"/>
      <c r="H31" s="121"/>
      <c r="I31" s="95"/>
      <c r="J31" s="751">
        <f>IF(J22="","",IF(YEAR(M6)&lt;$J$20,"",$O$6))</f>
        <v>0</v>
      </c>
      <c r="K31" s="711"/>
      <c r="L31" s="710">
        <f>IF(L27&gt;0,$O$6,0)</f>
        <v>0</v>
      </c>
      <c r="M31" s="711"/>
      <c r="N31" s="726"/>
      <c r="O31" s="727"/>
      <c r="P31" s="710" t="str">
        <f>IF(YEAR($N$6)&lt;$P$20,"",$O$6)</f>
        <v/>
      </c>
      <c r="Q31" s="711"/>
      <c r="R31" s="331"/>
      <c r="S31" s="331"/>
      <c r="T31" s="331"/>
      <c r="U31" s="331"/>
      <c r="V31" s="710">
        <f>IF(V27&gt;0,$O$6,0)</f>
        <v>0</v>
      </c>
      <c r="W31" s="751"/>
      <c r="X31" s="751"/>
      <c r="Y31" s="711"/>
      <c r="Z31" s="726"/>
      <c r="AA31" s="727"/>
      <c r="AB31" s="710" t="str">
        <f>IF(YEAR($N$6)&lt;$AB$20,"",$O$6)</f>
        <v/>
      </c>
      <c r="AC31" s="711"/>
      <c r="AD31" s="710">
        <f>IF(AD27&gt;0,$O$6,0)</f>
        <v>0</v>
      </c>
      <c r="AE31" s="711"/>
      <c r="AF31" s="726"/>
      <c r="AG31" s="727"/>
    </row>
    <row r="32" spans="2:46" ht="18" thickBot="1" x14ac:dyDescent="0.4">
      <c r="B32" s="123" t="s">
        <v>173</v>
      </c>
      <c r="C32" s="124"/>
      <c r="D32" s="124"/>
      <c r="E32" s="124"/>
      <c r="F32" s="124"/>
      <c r="G32" s="124"/>
      <c r="H32" s="128"/>
      <c r="I32" s="125"/>
      <c r="J32" s="728" t="e">
        <f>IF($X$5=TRUE,ZuschlagJahr1,0)</f>
        <v>#N/A</v>
      </c>
      <c r="K32" s="703"/>
      <c r="L32" s="702" t="e">
        <f>IF($X$5=TRUE,ZuschlagJahr1,0)</f>
        <v>#N/A</v>
      </c>
      <c r="M32" s="703"/>
      <c r="N32" s="702" t="e">
        <f>IF($X$5=TRUE,ZuschlagJahr1,0)</f>
        <v>#N/A</v>
      </c>
      <c r="O32" s="703"/>
      <c r="P32" s="702" t="e">
        <f>IF($X$5=TRUE,ZuschlagJahr2,0)</f>
        <v>#N/A</v>
      </c>
      <c r="Q32" s="703"/>
      <c r="R32" s="129"/>
      <c r="S32" s="129"/>
      <c r="T32" s="129"/>
      <c r="U32" s="129"/>
      <c r="V32" s="702" t="e">
        <f>IF($X$5=TRUE,ZuschlagJahr2,0)</f>
        <v>#N/A</v>
      </c>
      <c r="W32" s="728"/>
      <c r="X32" s="728"/>
      <c r="Y32" s="703"/>
      <c r="Z32" s="702" t="e">
        <f>IF($X$5=TRUE,ZuschlagJahr2,0)</f>
        <v>#N/A</v>
      </c>
      <c r="AA32" s="703"/>
      <c r="AB32" s="702" t="e">
        <f>IF($X$5=TRUE,ZuschlagJahr3,0)</f>
        <v>#N/A</v>
      </c>
      <c r="AC32" s="703"/>
      <c r="AD32" s="702" t="e">
        <f>IF($X$5=TRUE,ZuschlagJahr3,0)</f>
        <v>#N/A</v>
      </c>
      <c r="AE32" s="703"/>
      <c r="AF32" s="702" t="e">
        <f>IF($X$5=TRUE,ZuschlagJahr3,0)</f>
        <v>#N/A</v>
      </c>
      <c r="AG32" s="703"/>
    </row>
    <row r="33" spans="2:45" ht="61.5" customHeight="1" thickBot="1" x14ac:dyDescent="0.4">
      <c r="L33" s="115"/>
      <c r="M33" s="115"/>
      <c r="N33" s="115"/>
      <c r="O33" s="115"/>
      <c r="P33" s="115"/>
      <c r="Q33" s="115"/>
      <c r="R33" s="115"/>
      <c r="S33" s="115"/>
      <c r="T33" s="115"/>
      <c r="U33" s="115"/>
      <c r="V33" s="115"/>
      <c r="W33" s="115"/>
      <c r="X33" s="115"/>
      <c r="Y33" s="115"/>
      <c r="AB33" s="115"/>
      <c r="AC33" s="115"/>
      <c r="AD33" s="115"/>
      <c r="AE33" s="115"/>
    </row>
    <row r="34" spans="2:45" ht="27" customHeight="1" thickBot="1" x14ac:dyDescent="0.4">
      <c r="J34" s="744">
        <f>AB20+1</f>
        <v>1903</v>
      </c>
      <c r="K34" s="745"/>
      <c r="L34" s="745"/>
      <c r="M34" s="745"/>
      <c r="N34" s="745"/>
      <c r="O34" s="746"/>
      <c r="P34" s="747">
        <f>J34+1</f>
        <v>1904</v>
      </c>
      <c r="Q34" s="748"/>
      <c r="R34" s="748"/>
      <c r="S34" s="748"/>
      <c r="T34" s="748"/>
      <c r="U34" s="748"/>
      <c r="V34" s="748"/>
      <c r="W34" s="748"/>
      <c r="X34" s="748"/>
      <c r="Y34" s="748"/>
      <c r="Z34" s="748"/>
      <c r="AA34" s="749"/>
      <c r="AB34" s="704">
        <f>P34+1</f>
        <v>1905</v>
      </c>
      <c r="AC34" s="705"/>
      <c r="AD34" s="705"/>
      <c r="AE34" s="705"/>
      <c r="AF34" s="705"/>
      <c r="AG34" s="706"/>
    </row>
    <row r="35" spans="2:45" ht="15.6" customHeight="1" thickBot="1" x14ac:dyDescent="0.4">
      <c r="B35" s="93"/>
      <c r="C35" s="94"/>
      <c r="D35" s="94"/>
      <c r="E35" s="94"/>
      <c r="F35" s="94"/>
      <c r="G35" s="94"/>
      <c r="H35" s="96"/>
      <c r="I35" s="95"/>
      <c r="J35" s="130" t="s">
        <v>0</v>
      </c>
      <c r="K35" s="131" t="s">
        <v>1</v>
      </c>
      <c r="L35" s="130" t="s">
        <v>0</v>
      </c>
      <c r="M35" s="131" t="s">
        <v>1</v>
      </c>
      <c r="N35" s="130" t="s">
        <v>0</v>
      </c>
      <c r="O35" s="131" t="s">
        <v>1</v>
      </c>
      <c r="P35" s="132" t="s">
        <v>0</v>
      </c>
      <c r="Q35" s="133" t="s">
        <v>1</v>
      </c>
      <c r="R35" s="134"/>
      <c r="S35" s="134"/>
      <c r="T35" s="134"/>
      <c r="U35" s="134"/>
      <c r="V35" s="132" t="s">
        <v>0</v>
      </c>
      <c r="W35" s="799" t="s">
        <v>1</v>
      </c>
      <c r="X35" s="799"/>
      <c r="Y35" s="800"/>
      <c r="Z35" s="132" t="s">
        <v>0</v>
      </c>
      <c r="AA35" s="133" t="s">
        <v>1</v>
      </c>
      <c r="AB35" s="135" t="s">
        <v>0</v>
      </c>
      <c r="AC35" s="136" t="s">
        <v>1</v>
      </c>
      <c r="AD35" s="135" t="s">
        <v>0</v>
      </c>
      <c r="AE35" s="136" t="s">
        <v>1</v>
      </c>
      <c r="AF35" s="135" t="s">
        <v>0</v>
      </c>
      <c r="AG35" s="136" t="s">
        <v>1</v>
      </c>
    </row>
    <row r="36" spans="2:45" ht="16.5" thickBot="1" x14ac:dyDescent="0.4">
      <c r="B36" s="123" t="s">
        <v>110</v>
      </c>
      <c r="C36" s="124"/>
      <c r="D36" s="124"/>
      <c r="E36" s="124"/>
      <c r="F36" s="124"/>
      <c r="G36" s="124"/>
      <c r="H36" s="126"/>
      <c r="I36" s="125"/>
      <c r="J36" s="327" t="str">
        <f>IF(OR(ISBLANK($M$6),ISBLANK($N$6)),"",IF(J34&lt;YEAR($M$6),$M$6,IF(YEAR($N$6)&gt;=J34,DATE(J34,1,1),"")))</f>
        <v/>
      </c>
      <c r="K36" s="328" t="str">
        <f>IF(IF(OR(ISBLANK($M$6),ISBLANK($N$6)),"",IF(J34&lt;YEAR($M$6),$M$6,IF(YEAR($N$6)&gt;=J34,DATE(J34,1,1),"")))="","",IF(AND(MONTH(1)=MONTH($V$6),J34=YEAR($N$6)),$N$6,IF(AND($V$6&lt;$N$6,$N$6&gt;$T$12,),$N$6,IF(MONTH(1)=MONTH($V$6),DATE(J34,12,31),IF(OR(ISBLANK($M$6),ISBLANK($N$6)),"",IF(AND(J34=YEAR($N$6),$V$6&gt;$N$6),$N$6,IF(J34=YEAR($V$6),$V$6-1,IF(J34=YEAR($T$12),$T$12-1,IF(J34=YEAR($T$13),$T$13-1,IF(J34=YEAR($T$14),$T$14-1,IF(J34=YEAR($T$15),$T$15-1,IF(J34=YEAR($T$16),$T$16-1,IF(YEAR($N$6)=J34,$N$6,DATE(J34,12,31))))))))))))))</f>
        <v/>
      </c>
      <c r="L36" s="327" t="str">
        <f>IF(YEAR(N6)&lt;J34,"",IF(OR(ISBLANK(M6),ISBLANK(N6)),"",IF(AND(J34=YEAR($N$6),$V$6&gt;$N$6),"",IF(MONTH(1)=MONTH($V$6),"",IF(J34=YEAR($V$6),$V$6,IF(J34=YEAR($T$12),$T$12,IF(J34=YEAR($T$13),$T$13,IF(J34=YEAR($T$14),$T$14,IF(J34=YEAR($T$15),$T$15,IF(J34=YEAR($T$16),$T$16,IF($N$6&lt;$T$12,"","")))))))))))</f>
        <v/>
      </c>
      <c r="M36" s="615" t="str">
        <f>IF(L36="","",IF(YEAR(N6)&lt;J34,"",IF(OR(ISBLANK($M$6),ISBLANK($N$6)),"",IF(MONTH(1)=MONTH($V$6),"",IF(IF(AND(J34=YEAR($N$6),$V$6&gt;$N$6),"",IF(J34=YEAR($V$6),$V$6,IF(J34=YEAR($T$12),$T$12,IF(J34=YEAR($T$13),$T$13,IF(J34=YEAR($T$14),$T$14,IF(J34=YEAR($T$15),$T$15,IF(J34=YEAR($T$16),$T$16,"")))))))="","",IF(YEAR($N$6)=J34,$N$6,DATE(J34,12,31)))))))</f>
        <v/>
      </c>
      <c r="N36" s="110"/>
      <c r="O36" s="110"/>
      <c r="P36" s="327" t="str">
        <f>IF(OR(ISBLANK($M$6),ISBLANK($N$6)),"",IF(P34&lt;YEAR($M$6),$M$6,IF(YEAR($N$6)&gt;=P34,DATE(P34,1,1),"")))</f>
        <v/>
      </c>
      <c r="Q36" s="328" t="str">
        <f>IF(IF(OR(ISBLANK($M$6),ISBLANK($N$6)),"",IF(P34&lt;YEAR($M$6),$M$6,IF(YEAR($N$6)&gt;=P34,DATE(P34,1,1),"")))="","",IF(AND(MONTH(1)=MONTH($V$6),P34=YEAR($N$6)),$N$6,IF(AND($V$6&lt;$N$6,$N$6&gt;$T$12,),$N$6,IF(MONTH(1)=MONTH($V$6),DATE(P34,12,31),IF(OR(ISBLANK($M$6),ISBLANK($N$6)),"",IF(AND(P34=YEAR($N$6),$V$6&gt;$N$6),$N$6,IF(P34=YEAR($V$6),$V$6-1,IF(P34=YEAR($T$12),$T$12-1,IF(P34=YEAR($T$13),$T$13-1,IF(P34=YEAR($T$14),$T$14-1,IF(P34=YEAR($T$15),$T$15-1,IF(P34=YEAR($T$16),$T$16-1,IF(YEAR($N$6)=P34,$N$6,DATE(P34,12,31))))))))))))))</f>
        <v/>
      </c>
      <c r="R36" s="108"/>
      <c r="S36" s="109"/>
      <c r="T36" s="108"/>
      <c r="U36" s="110"/>
      <c r="V36" s="327" t="str">
        <f>IF(IF(OR(ISBLANK($M$6),ISBLANK($N$6)),"",IF(P34&lt;YEAR($M$6),$M$6,IF(YEAR($N$6)&gt;=P34,DATE(P34,1,1),"")))="","",IF(MONTH(1)=MONTH($V$6),"",IF(AND(P34=YEAR($N$6),$V$6&gt;$N$6),"",IF(P34=YEAR($V$6),$V$6,IF(P34=YEAR($T$12),$T$12,IF(P34=YEAR($T$13),$T$13,IF(P34=YEAR($T$14),$T$14,IF(P34=YEAR($T$15),$T$15,IF(P34=YEAR($T$16),$T$16,IF($N$6&lt;$T$12,"",""))))))))))</f>
        <v/>
      </c>
      <c r="W36" s="794" t="str">
        <f>IF(V36="","",IF(IF(OR(ISBLANK($M$6),ISBLANK($N$6)),"",IF(P34&lt;YEAR($M$6),$M$6,IF(YEAR($N$6)&gt;=P34,DATE(P34,1,1),"")))="","",IF(MONTH(1)=MONTH($V$6),"",IF(IF(AND(P34=YEAR($N$6),$V$6&gt;$N$6),"",IF(P34=YEAR($V$6),$V$6,IF(P34=YEAR($T$12),$T$12,IF(P34=YEAR($T$13),$T$13,IF(P34=YEAR($T$14),$T$14,IF(P34=YEAR($T$15),$T$15,IF(P34=YEAR($T$16),$T$16,"")))))))="","",IF(YEAR($N$6)=P34,$N$6,DATE(P34,12,31))))))</f>
        <v/>
      </c>
      <c r="X36" s="794"/>
      <c r="Y36" s="795"/>
      <c r="Z36" s="108"/>
      <c r="AA36" s="109"/>
      <c r="AB36" s="327" t="str">
        <f>IF(AB34&lt;YEAR($M$6),$M$6,IF(YEAR($N$6)&gt;=AB34,DATE(AB34,1,1),""))</f>
        <v/>
      </c>
      <c r="AC36" s="328" t="str">
        <f>IF(IF(OR(ISBLANK($M$6),ISBLANK($N$6)),"",IF(AB34&lt;YEAR($M$6),$M$6,IF(YEAR($N$6)&gt;=AB34,DATE(AB34,1,1),"")))="","",IF(AND(MONTH(1)=MONTH($V$6),AB34=YEAR($N$6)),$N$6,IF(AND($V$6&lt;$N$6,$N$6&gt;$T$12,),$N$6,IF(MONTH(1)=MONTH($V$6),DATE(AB34,12,31),IF(OR(ISBLANK($M$6),ISBLANK($N$6)),"",IF(AND(AB34=YEAR($N$6),$V$6&gt;$N$6),$N$6,IF(AB34=YEAR($V$6),$V$6-1,IF(AB34=YEAR($T$12),$T$12-1,IF(AB34=YEAR($T$13),$T$13-1,IF(AB34=YEAR($T$14),$T$14-1,IF(AB34=YEAR($T$15),$T$15-1,IF(AB34=YEAR($T$16),$T$16-1,IF(YEAR($N$6)=AB34,$N$6,DATE(AB34,12,31))))))))))))))</f>
        <v/>
      </c>
      <c r="AD36" s="327" t="str">
        <f>IF(IF(AB34&lt;YEAR($M$6),$M$6,IF(YEAR($N$6)&gt;=AB34,DATE(AB34,1,1),""))="","",IF(MONTH(1)=MONTH($V$6),"",IF(AND(AB34=YEAR($N$6),$V$6&gt;$N$6),"",IF(AB34=YEAR($V$6),$V$6,IF(AB34=YEAR($T$12),$T$12,IF(AB34=YEAR($T$13),$T$13,IF(AB34=YEAR($T$14),$T$14,IF(AB34=YEAR($T$15),$T$15,IF(AB34=YEAR($T$16),$T$16,IF($N$6&lt;$T$12,"",""))))))))))</f>
        <v/>
      </c>
      <c r="AE36" s="615" t="str">
        <f>IF(AD36="","",IF(IF(AB34&lt;YEAR($M$6),$M$6,IF(YEAR($N$6)&gt;=AB34,DATE(AB34,1,1),""))="","",IF(MONTH(1)=MONTH($V$6),"",IF(IF(AND(AB34=YEAR($N$6),$V$6&gt;$N$6),"",IF(AB34=YEAR($V$6),$V$6,IF(AB34=YEAR($T$12),$T$12,IF(AB34=YEAR($T$13),$T$13,IF(AB34=YEAR($T$14),$T$14,IF(AB34=YEAR($T$15),$T$15,IF(AB34=YEAR($T$16),$T$16,"")))))))="","",IF(YEAR($N$6)=AB34,$N$6,DATE(AB34,12,31))))))</f>
        <v/>
      </c>
      <c r="AF36" s="110"/>
      <c r="AG36" s="109"/>
    </row>
    <row r="37" spans="2:45" ht="16.149999999999999" hidden="1" customHeight="1" outlineLevel="1" thickBot="1" x14ac:dyDescent="0.4">
      <c r="B37" s="442"/>
      <c r="C37" s="105"/>
      <c r="D37" s="105"/>
      <c r="E37" s="105"/>
      <c r="F37" s="105"/>
      <c r="G37" s="105"/>
      <c r="H37" s="82"/>
      <c r="I37" s="105"/>
      <c r="J37" s="111">
        <f>IF(J36="",0,(EOMONTH(J36,0)-J36+1)/(EOMONTH(J36,0)-EOMONTH(J36,-1))+(K36-EOMONTH(K36,-1))/(EOMONTH(K36,0)-EOMONTH(K36,-1))+MONTH(K36)-MONTH(J36)-1+(YEAR(K36)-YEAR(J36))*12)</f>
        <v>0</v>
      </c>
      <c r="K37" s="112" t="e">
        <f>IF(AND(DAY(J36)&gt;1,MONTH(J36)&lt;&gt;MONTH(K36)),30-DAY(J36)+1,IF(J36="",0,(IF(MONTH(J36)=MONTH(K36),IF(OR(K36=C77,K36=C78,K36=C79,K36=C80,K36=C81,K36=C82,K36=C83,K36=C84,K36=C85,K36=C86,K36=C87,K36=C88),30-DAY(J36)+1,IF(MONTH(J36)=MONTH(K36),DAY(K36)-DAY(J36)+1,0))))))</f>
        <v>#VALUE!</v>
      </c>
      <c r="L37" s="111">
        <f>IF(L36="",0,(EOMONTH(L36,0)-L36+1)/(EOMONTH(L36,0)-EOMONTH(L36,-1))+(M36-EOMONTH(M36,-1))/(EOMONTH(M36,0)-EOMONTH(M36,-1))+MONTH(M36)-MONTH(L36)-1+(YEAR(M36)-YEAR(L36))*12)</f>
        <v>0</v>
      </c>
      <c r="M37" s="112">
        <f>IF(L36="",0,IF(AND(DAY(L36)=1,MONTH(L36)&lt;&gt;MONTH(M36)),30,IF(AND(DAY(L36)&gt;1,MONTH(L36)&lt;&gt;MONTH(M36)),30-DAY(L36)+1,IF(MONTH(L36)=MONTH(M36),IF(OR(M36=C77,M36=C78,M36=C79,M36=C80,M36=C81,M36=C82,M36=C83,M36=C84,M36=C85,M36=C86,M36=C87,M36=C88),30-DAY(L36)+1,IF(MONTH(L36)=MONTH(M36),DAY(M36)-DAY(L36)+1,0))))))</f>
        <v>0</v>
      </c>
      <c r="N37" s="111">
        <f>IF(N36="",0,(EOMONTH(N36,0)-N36+1)/(EOMONTH(N36,0)-EOMONTH(N36,-1))+(O36-EOMONTH(O36,-1))/(EOMONTH(O36,0)-EOMONTH(O36,-1))+MONTH(O36)-MONTH(N36)-1+(YEAR(O36)-YEAR(N36))*12)</f>
        <v>0</v>
      </c>
      <c r="O37" s="112">
        <f>IF(N36="",0,IF(AND(DAY(N36)=1,MONTH(N36)&lt;&gt;MONTH(O36)),30,IF(AND(DAY(N36)&gt;1,MONTH(N36)&lt;&gt;MONTH(O36)),30-DAY(N36)+1,IF(MONTH(N36)=MONTH(O36),IF(OR(O36=C77,O36=C78,O36=C79,O36=C80,O36=C81,O36=C82,O36=C83,O36=C84,O36=C85,O36=C86,O36=C87,O36=C88),30-DAY(N36)+1,IF(MONTH(N36)=MONTH(O36),DAY(O36)-DAY(N36)+1,0))))))</f>
        <v>0</v>
      </c>
      <c r="P37" s="111">
        <f>IF(P36="",0,(EOMONTH(P36,0)-P36+1)/(EOMONTH(P36,0)-EOMONTH(P36,-1))+(Q36-EOMONTH(Q36,-1))/(EOMONTH(Q36,0)-EOMONTH(Q36,-1))+MONTH(Q36)-MONTH(P36)-1+(YEAR(Q36)-YEAR(P36))*12)</f>
        <v>0</v>
      </c>
      <c r="Q37" s="113" t="e">
        <f>IF(AND(DAY(P36)&gt;1,MONTH(P36)&lt;&gt;MONTH(Q36)),30-DAY(P36)+1,IF(P36="",0,(IF(MONTH(P36)=MONTH(Q36),IF(OR(Q36=R77,Q36=R78,Q36=R79,Q36=R80,Q36=R81,Q36=R82,Q36=R83,Q36=R84,Q36=R85,Q36=R86,Q36=R87,Q36=R88),30-DAY(P36)+1,IF(MONTH(P36)=MONTH(Q36),DAY(Q36)-DAY(P36)+1,0))))))</f>
        <v>#VALUE!</v>
      </c>
      <c r="R37" s="114"/>
      <c r="S37" s="114"/>
      <c r="T37" s="114"/>
      <c r="U37" s="114"/>
      <c r="V37" s="111">
        <f>IF(V36="",0,(EOMONTH(V36,0)-V36+1)/(EOMONTH(V36,0)-EOMONTH(V36,-1))+(W36-EOMONTH(W36,-1))/(EOMONTH(W36,0)-EOMONTH(W36,-1))+MONTH(W36)-MONTH(V36)-1+(YEAR(W36)-YEAR(V36))*12)</f>
        <v>0</v>
      </c>
      <c r="W37" s="112">
        <f>IF(V36="",0,IF(AND(DAY(V36)=1,MONTH(V36)&lt;&gt;MONTH(W36)),30,IF(AND(DAY(V36)&gt;1,MONTH(V36)&lt;&gt;MONTH(W36)),30-DAY(V36)+1,IF(MONTH(V36)=MONTH(W36),IF(OR(W36=R77,W36=R78,W36=R79,W36=R80,W36=R81,W36=R82,W36=R83,W36=R84,W36=R85,W36=R86,W36=R87,W36=R88),30-DAY(V36)+1,IF(MONTH(V36)=MONTH(W36),DAY(W36)-DAY(V36)+1,0))))))</f>
        <v>0</v>
      </c>
      <c r="X37" s="115"/>
      <c r="Y37" s="115"/>
      <c r="Z37" s="111">
        <f>IF(Z36="",0,(EOMONTH(Z36,0)-Z36+1)/(EOMONTH(Z36,0)-EOMONTH(Z36,-1))+(AA36-EOMONTH(AA36,-1))/(EOMONTH(AA36,0)-EOMONTH(AA36,-1))+MONTH(AA36)-MONTH(Z36)-1+(YEAR(AA36)-YEAR(Z36))*12)</f>
        <v>0</v>
      </c>
      <c r="AA37" s="112">
        <f>IF(Z36="",0,IF(AND(DAY(Z36)=1,MONTH(Z36)&lt;&gt;MONTH(AA36)),30,IF(AND(DAY(Z36)&gt;1,MONTH(Z36)&lt;&gt;MONTH(AA36)),30-DAY(Z36)+1,IF(MONTH(Z36)=MONTH(AA36),IF(OR(AA36=R77,AA36=R78,AA36=R79,AA36=R80,AA36=R81,AA36=R82,AA36=R83,AA36=R84,AA36=R85,AA36=R86,AA36=R87,AA36=R88),30-DAY(Z36)+1,IF(MONTH(Z36)=MONTH(AA36),DAY(AA36)-DAY(Z36)+1,0))))))</f>
        <v>0</v>
      </c>
      <c r="AB37" s="111">
        <f>IF(AB36="",0,(EOMONTH(AB36,0)-AB36+1)/(EOMONTH(AB36,0)-EOMONTH(AB36,-1))+(AC36-EOMONTH(AC36,-1))/(EOMONTH(AC36,0)-EOMONTH(AC36,-1))+MONTH(AC36)-MONTH(AB36)-1+(YEAR(AC36)-YEAR(AB36))*12)</f>
        <v>0</v>
      </c>
      <c r="AC37" s="112" t="e">
        <f>IF(AND(DAY(AB36)&gt;1,MONTH(AB36)&lt;&gt;MONTH(AC36)),30-DAY(AB36)+1,IF(AB36="",0,(IF(MONTH(AB36)=MONTH(AC36),IF(OR(AC36=AH77,AC36=AH78,AC36=AH79,AC36=AH80,AC36=AH81,AC36=AH82,AC36=AH83,AC36=AH84,AC36=AH85,AC36=AH86,AC36=AH87,AC36=AH88),30-DAY(AB36)+1,IF(MONTH(AB36)=MONTH(AC36),DAY(AC36)-DAY(AB36)+1,0))))))</f>
        <v>#VALUE!</v>
      </c>
      <c r="AD37" s="111">
        <f>IF(AD36="",0,(EOMONTH(AD36,0)-AD36+1)/(EOMONTH(AD36,0)-EOMONTH(AD36,-1))+(AE36-EOMONTH(AE36,-1))/(EOMONTH(AE36,0)-EOMONTH(AE36,-1))+MONTH(AE36)-MONTH(AD36)-1+(YEAR(AE36)-YEAR(AD36))*12)</f>
        <v>0</v>
      </c>
      <c r="AE37" s="112">
        <f>IF(AD36="",0,IF(AND(DAY(AD36)=1,MONTH(AD36)&lt;&gt;MONTH(AE36)),30,IF(AND(DAY(AD36)&gt;1,MONTH(AD36)&lt;&gt;MONTH(AE36)),30-DAY(AD36)+1,IF(MONTH(AD36)=MONTH(AE36),IF(OR(AE36=AH77,AE36=AH78,AE36=AH79,AE36=AH80,AE36=AH81,AE36=AH82,AE36=AH83,AE36=AH84,AE36=AH85,AE36=AH86,AE36=AH87,AE36=AH88),30-DAY(AD36)+1,IF(MONTH(AD36)=MONTH(AE36),DAY(AE36)-DAY(AD36)+1,0))))))</f>
        <v>0</v>
      </c>
      <c r="AF37" s="111">
        <f>IF(AF36="",0,(EOMONTH(AF36,0)-AF36+1)/(EOMONTH(AF36,0)-EOMONTH(AF36,-1))+(AG36-EOMONTH(AG36,-1))/(EOMONTH(AG36,0)-EOMONTH(AG36,-1))+MONTH(AG36)-MONTH(AF36)-1+(YEAR(AG36)-YEAR(AF36))*12)</f>
        <v>0</v>
      </c>
      <c r="AG37" s="112">
        <f>IF(AF36="",0,IF(AND(DAY(AF36)=1,MONTH(AF36)&lt;&gt;MONTH(AG36)),30,IF(AND(DAY(AF36)&gt;1,MONTH(AF36)&lt;&gt;MONTH(AG36)),30-DAY(AF36)+1,IF(MONTH(AF36)=MONTH(AG36),IF(OR(AG36=AH77,AG36=AH78,AG36=AH79,AG36=AH80,AG36=AH81,AG36=AH82,AG36=AH83,AG36=AH84,AG36=AH85,AG36=AH86,AG36=AH87,AG36=AH88),30-DAY(AF36)+1,IF(MONTH(AF36)=MONTH(AG36),DAY(AG36)-DAY(AF36)+1,0))))))</f>
        <v>0</v>
      </c>
    </row>
    <row r="38" spans="2:45" ht="16.5" collapsed="1" thickBot="1" x14ac:dyDescent="0.4">
      <c r="B38" s="116" t="s">
        <v>2</v>
      </c>
      <c r="C38" s="117"/>
      <c r="D38" s="117"/>
      <c r="E38" s="117"/>
      <c r="F38" s="117"/>
      <c r="G38" s="117"/>
      <c r="H38" s="117"/>
      <c r="I38" s="118"/>
      <c r="J38" s="671">
        <f>IF(J36="",0,(J41*J45)*(J46+100%))</f>
        <v>0</v>
      </c>
      <c r="K38" s="670"/>
      <c r="L38" s="671">
        <f>IF(L36="",0,(L41*L45)*(L46+100%))</f>
        <v>0</v>
      </c>
      <c r="M38" s="670"/>
      <c r="N38" s="671">
        <f>IF(N36="",0,(N41*N45)*(N46+100%))</f>
        <v>0</v>
      </c>
      <c r="O38" s="670"/>
      <c r="P38" s="671">
        <f>IF(P36="",0,(P41*P45)*(P46+100%))</f>
        <v>0</v>
      </c>
      <c r="Q38" s="670"/>
      <c r="R38" s="613"/>
      <c r="S38" s="613"/>
      <c r="T38" s="613"/>
      <c r="U38" s="613"/>
      <c r="V38" s="671">
        <f>IF(V36="",0,(V41*V45)*(V46+100%))</f>
        <v>0</v>
      </c>
      <c r="W38" s="669"/>
      <c r="X38" s="669"/>
      <c r="Y38" s="670"/>
      <c r="Z38" s="671">
        <f>IF(Z36="",0,(Z41*Z45)*(Z46+100%))</f>
        <v>0</v>
      </c>
      <c r="AA38" s="670"/>
      <c r="AB38" s="671">
        <f>IF(AB36="",0,(AB41*AB45)*(AB46+100%))</f>
        <v>0</v>
      </c>
      <c r="AC38" s="670"/>
      <c r="AD38" s="671">
        <f>IF(AD36="",0,(AD41*AD45)*(AD46+100%))</f>
        <v>0</v>
      </c>
      <c r="AE38" s="670"/>
      <c r="AF38" s="671">
        <f>IF(AF36="",0,(AF41*AF45)*(AF46+100%))</f>
        <v>0</v>
      </c>
      <c r="AG38" s="670"/>
    </row>
    <row r="39" spans="2:45" x14ac:dyDescent="0.35">
      <c r="B39" s="120" t="s">
        <v>114</v>
      </c>
      <c r="C39" s="94"/>
      <c r="D39" s="94"/>
      <c r="E39" s="94"/>
      <c r="F39" s="94"/>
      <c r="G39" s="94"/>
      <c r="H39" s="121"/>
      <c r="I39" s="95"/>
      <c r="J39" s="716" t="str">
        <f>IF(YEAR(N6)&lt;J34,"",$P$6)</f>
        <v/>
      </c>
      <c r="K39" s="717"/>
      <c r="L39" s="716" t="e">
        <f>IF(OR(L36=$V$6,L36=$T$12,L36=$T$13,L36=$T$14,L36=$T$15,L36=$T$16),J39,"")</f>
        <v>#VALUE!</v>
      </c>
      <c r="M39" s="717"/>
      <c r="N39" s="675"/>
      <c r="O39" s="676"/>
      <c r="P39" s="716" t="str">
        <f>IF(IF(OR(ISBLANK($M$6),ISBLANK($N$6)),"",IF(P34&lt;YEAR($M$6),$M$6,IF(YEAR($N$6)&gt;=P34,DATE(P34,1,1),"")))="","",$P$6)</f>
        <v/>
      </c>
      <c r="Q39" s="717"/>
      <c r="R39" s="611"/>
      <c r="S39" s="611"/>
      <c r="T39" s="611"/>
      <c r="U39" s="611"/>
      <c r="V39" s="674" t="e">
        <f>IF(OR(V36=$V$6,V36=$T$12,V36=$T$13,V36=$T$14,V36=$T$15,V36=$T$16),P39,"")</f>
        <v>#VALUE!</v>
      </c>
      <c r="W39" s="672"/>
      <c r="X39" s="672"/>
      <c r="Y39" s="673"/>
      <c r="Z39" s="731"/>
      <c r="AA39" s="732"/>
      <c r="AB39" s="674" t="str">
        <f>IF(IF(OR(ISBLANK($M$6),ISBLANK($N$6)),"",IF(AB34&lt;YEAR($M$6),$M$6,IF(YEAR($N$6)&gt;=AB34,DATE(AB34,1,1),"")))="","",$P$6)</f>
        <v/>
      </c>
      <c r="AC39" s="673"/>
      <c r="AD39" s="716" t="e">
        <f>IF(OR(AD36=$V$6,AD36=$T$12,AD36=$T$13,AD36=$T$14,AD36=$T$15,AD36=$T$16),AB39,"")</f>
        <v>#VALUE!</v>
      </c>
      <c r="AE39" s="717"/>
      <c r="AF39" s="731"/>
      <c r="AG39" s="732"/>
    </row>
    <row r="40" spans="2:45" ht="18" thickBot="1" x14ac:dyDescent="0.4">
      <c r="B40" s="123" t="s">
        <v>171</v>
      </c>
      <c r="C40" s="124"/>
      <c r="D40" s="124"/>
      <c r="E40" s="124"/>
      <c r="F40" s="124"/>
      <c r="G40" s="124"/>
      <c r="H40" s="126"/>
      <c r="I40" s="125"/>
      <c r="J40" s="716" t="str">
        <f>IF(J36="","",IF(J36=$V$6,$S$12,IF(J36=$T$12,$S$13,IF(J36=$T$13,$S$14,IF(J36=$T$14,$S$15,IF(J36=$T$15,$S$16,IF(AD26="",AB26,AD26)))))))</f>
        <v/>
      </c>
      <c r="K40" s="717"/>
      <c r="L40" s="716" t="str">
        <f>IF(L36="","",IF(ISBLANK(Q6),"",IF(L36=$V$6,$S$12,IF(L36=$T$12,$S$13,IF(L36=$T$13,$S$14,IF(L36=$T$14,$S$15,IF(L36=$T$15,$S$16,"")))))))</f>
        <v/>
      </c>
      <c r="M40" s="717"/>
      <c r="N40" s="675"/>
      <c r="O40" s="676"/>
      <c r="P40" s="755" t="str">
        <f>IF(P36="","",IF(P36=$V$6,$S$12,IF(P36=$T$12,$S$13,IF(P36=$T$13,$S$14,IF(P36=$T$14,$S$15,IF(P36=$T$15,$S$16,IF(L40="",J40,L40)))))))</f>
        <v/>
      </c>
      <c r="Q40" s="756"/>
      <c r="R40" s="611"/>
      <c r="S40" s="611"/>
      <c r="T40" s="611"/>
      <c r="U40" s="611"/>
      <c r="V40" s="785" t="e">
        <f>IF(ISBLANK(Q6),"",IF(V36=$V$6,$S$12,IF(V36=$T$12,$S$13,IF(V36=$T$13,$S$14,IF(V36=$T$14,$S$15,IF(V36=$T$15,$S$16,""))))))</f>
        <v>#VALUE!</v>
      </c>
      <c r="W40" s="796"/>
      <c r="X40" s="796"/>
      <c r="Y40" s="786"/>
      <c r="Z40" s="722"/>
      <c r="AA40" s="723"/>
      <c r="AB40" s="716" t="str">
        <f>IF(AB36="","",IF(AB36=$V$6,$S$12,IF(AB36=$T$12,$S$13,IF(AB36=$T$13,$S$14,IF(AB36=$T$14,$S$15,IF(AB36=$T$15,$S$16,IF(V40="",P40,V40)))))))</f>
        <v/>
      </c>
      <c r="AC40" s="717"/>
      <c r="AD40" s="729" t="str">
        <f>IF(AD36="","",IF(ISBLANK(V24),"",IF(AD36=$V$6,$S$12,IF(AD36=$T$12,$S$13,IF(AD36=$T$13,$S$14,IF(AD36=$T$14,$S$15,IF(AD36=$T$15,$S$16,"")))))))</f>
        <v/>
      </c>
      <c r="AE40" s="730"/>
      <c r="AF40" s="722"/>
      <c r="AG40" s="723"/>
    </row>
    <row r="41" spans="2:45" x14ac:dyDescent="0.35">
      <c r="B41" s="120" t="s">
        <v>4</v>
      </c>
      <c r="C41" s="94"/>
      <c r="D41" s="94"/>
      <c r="E41" s="94"/>
      <c r="F41" s="94"/>
      <c r="G41" s="94"/>
      <c r="H41" s="121"/>
      <c r="I41" s="95"/>
      <c r="J41" s="714">
        <f>IF(ISERROR(INDEX(EntgelteJahr4,MATCH(J39,GruppeJahr4,0),MATCH(J40,StufeJahr4,0))),0,INDEX(EntgelteJahr4,MATCH(J39,GruppeJahr4,0),MATCH(J40,StufeJahr4,0)))</f>
        <v>0</v>
      </c>
      <c r="K41" s="715"/>
      <c r="L41" s="714">
        <f>IF(ISERROR(INDEX(EntgelteJahr4,MATCH(L39,GruppeJahr4,0),MATCH(L40,StufeJahr4,0))),0,INDEX(EntgelteJahr4,MATCH(L39,GruppeJahr4,0),MATCH(L40,StufeJahr4,0)))</f>
        <v>0</v>
      </c>
      <c r="M41" s="715"/>
      <c r="N41" s="714">
        <f>IF(ISERROR(INDEX(EntgelteJahr4,MATCH(N39,GruppeJahr4,0),MATCH(N40,StufeJahr4,0))),0,INDEX(EntgelteJahr4,MATCH(N39,GruppeJahr4,0),MATCH(N40,StufeJahr4,0)))</f>
        <v>0</v>
      </c>
      <c r="O41" s="715"/>
      <c r="P41" s="714">
        <f>IF(ISERROR(INDEX(EntgelteJahr5,MATCH(P39,GruppeJahr5,0),MATCH(P40,StufeJahr5,0))),0,INDEX(EntgelteJahr5,MATCH(P39,GruppeJahr5,0),MATCH(P40,StufeJahr5,0)))</f>
        <v>0</v>
      </c>
      <c r="Q41" s="715"/>
      <c r="R41" s="122"/>
      <c r="S41" s="122"/>
      <c r="T41" s="122"/>
      <c r="U41" s="122"/>
      <c r="V41" s="714">
        <f>IF(ISERROR(INDEX(EntgelteJahr5,MATCH(V39,GruppeJahr5,0),MATCH(V40,StufeJahr5,0))),0,INDEX(EntgelteJahr5,MATCH(V39,GruppeJahr5,0),MATCH(V40,StufeJahr5,0)))</f>
        <v>0</v>
      </c>
      <c r="W41" s="739"/>
      <c r="X41" s="739"/>
      <c r="Y41" s="715"/>
      <c r="Z41" s="714">
        <f>IF(ISERROR(INDEX(EntgelteJahr5,MATCH(Z39,GruppeJahr5,0),MATCH(Z40,StufeJahr5,0))),0,INDEX(EntgelteJahr5,MATCH(Z39,GruppeJahr5,0),MATCH(Z40,StufeJahr5,0)))</f>
        <v>0</v>
      </c>
      <c r="AA41" s="715"/>
      <c r="AB41" s="714">
        <f>IF(ISERROR(INDEX(EntgelteJahr6,MATCH(AB39,GruppeJahr6,0),MATCH(AB40,StufeJahr6,0))),0,INDEX(EntgelteJahr6,MATCH(AB39,GruppeJahr6,0),MATCH(AB40,StufeJahr6,0)))</f>
        <v>0</v>
      </c>
      <c r="AC41" s="715"/>
      <c r="AD41" s="714">
        <f>IF(ISERROR(INDEX(EntgelteJahr6,MATCH(AD39,GruppeJahr6,0),MATCH(AD40,StufeJahr6,0))),0,INDEX(EntgelteJahr6,MATCH(AD39,GruppeJahr6,0),MATCH(AD40,StufeJahr6,0)))</f>
        <v>0</v>
      </c>
      <c r="AE41" s="715"/>
      <c r="AF41" s="714">
        <f>IF(ISERROR(INDEX(EntgelteJahr6,MATCH(AF39,GruppeJahr6,0),MATCH(AF40,StufeJahr6,0))),0,INDEX(EntgelteJahr6,MATCH(AF39,GruppeJahr6,0),MATCH(AF40,StufeJahr6,0)))</f>
        <v>0</v>
      </c>
      <c r="AG41" s="715"/>
    </row>
    <row r="42" spans="2:45" ht="17.25" x14ac:dyDescent="0.35">
      <c r="B42" s="104" t="s">
        <v>172</v>
      </c>
      <c r="C42" s="105"/>
      <c r="D42" s="105"/>
      <c r="E42" s="105"/>
      <c r="F42" s="105"/>
      <c r="G42" s="105"/>
      <c r="H42" s="107"/>
      <c r="I42" s="106"/>
      <c r="J42" s="712">
        <f>IF(ISERROR(INDEX(JszJahr4,MATCH(J39,JszGrJahr4,0),MATCH(J40,JszStJahr4,0))),0,(INDEX(JszJahr4,MATCH(J39,JszGrJahr4,0),MATCH(J40,JszStJahr4,0))))</f>
        <v>0</v>
      </c>
      <c r="K42" s="713"/>
      <c r="L42" s="712">
        <f>IF(ISERROR(INDEX(JszJahr4,MATCH(L39,JszGrJahr4,0),MATCH(L40,JszStJahr4,0))),0,(INDEX(JszJahr4,MATCH(L39,JszGrJahr4,0),MATCH(L40,JszStJahr4,0))))</f>
        <v>0</v>
      </c>
      <c r="M42" s="713"/>
      <c r="N42" s="712">
        <f>IF(ISERROR(INDEX(JszJahr4,MATCH(N39,JszGrJahr4,0),MATCH(N40,JszStJahr4,0))),0,(INDEX(JszJahr4,MATCH(N39,JszGrJahr4,0),MATCH(N40,JszStJahr4,0))))</f>
        <v>0</v>
      </c>
      <c r="O42" s="713"/>
      <c r="P42" s="712">
        <f>IF(ISERROR(INDEX(JszJahr5,MATCH(P39,JszGrJahr5,0),MATCH(P40,JszStJahr5,0))),0,(INDEX(JszJahr5,MATCH(P39,JszGrJahr5,0),MATCH(P40,JszStJahr5,0))))</f>
        <v>0</v>
      </c>
      <c r="Q42" s="713"/>
      <c r="R42" s="612"/>
      <c r="S42" s="612"/>
      <c r="T42" s="612"/>
      <c r="U42" s="612"/>
      <c r="V42" s="754">
        <f>IF(ISERROR(INDEX(JszJahr5,MATCH(V39,JszGrJahr5,0),MATCH(V40,JszStJahr5,0))),0,(INDEX(JszJahr5,MATCH(V39,JszGrJahr5,0),MATCH(V40,JszStJahr5,0))))</f>
        <v>0</v>
      </c>
      <c r="W42" s="754"/>
      <c r="X42" s="754"/>
      <c r="Y42" s="713"/>
      <c r="Z42" s="754">
        <f>IF(ISERROR(INDEX(JszJahr5,MATCH(Z39,JszGrJahr5,0),MATCH(Z40,JszStJahr5,0))),0,(INDEX(JszJahr5,MATCH(Z39,JszGrJahr5,0),MATCH(Z40,JszStJahr5,0))))</f>
        <v>0</v>
      </c>
      <c r="AA42" s="713"/>
      <c r="AB42" s="712">
        <f>IF(ISERROR(INDEX(JszJahr6,MATCH(AB39,JszGrJahr6,0),MATCH(AB40,JszStJahr6,0))),0,(INDEX(JszJahr6,MATCH(AB39,JszGrJahr6,0),MATCH(AB40,JszStJahr6,0))))</f>
        <v>0</v>
      </c>
      <c r="AC42" s="713"/>
      <c r="AD42" s="712">
        <f>IF(ISERROR(INDEX(JszJahr6,MATCH(AD39,JszGrJahr6,0),MATCH(AD40,JszStJahr6,0))),0,(INDEX(JszJahr6,MATCH(AD39,JszGrJahr6,0),MATCH(AD40,JszStJahr6,0))))</f>
        <v>0</v>
      </c>
      <c r="AE42" s="713"/>
      <c r="AF42" s="712">
        <f>IF(ISERROR(INDEX(JszJahr6,MATCH(AF39,JszGrJahr6,0),MATCH(AF40,JszStJahr6,0))),0,(INDEX(JszJahr6,MATCH(AF39,JszGrJahr6,0),MATCH(AF40,JszStJahr6,0))))</f>
        <v>0</v>
      </c>
      <c r="AG42" s="713"/>
    </row>
    <row r="43" spans="2:45" ht="16.5" hidden="1" outlineLevel="1" thickBot="1" x14ac:dyDescent="0.4">
      <c r="B43" s="104" t="s">
        <v>43</v>
      </c>
      <c r="C43" s="105"/>
      <c r="D43" s="105"/>
      <c r="E43" s="105"/>
      <c r="F43" s="105"/>
      <c r="G43" s="105"/>
      <c r="H43" s="107"/>
      <c r="I43" s="106"/>
      <c r="J43" s="757" t="str">
        <f>IF(SUM(D88:F88)&gt;0,"ja","nein")</f>
        <v>nein</v>
      </c>
      <c r="K43" s="757"/>
      <c r="L43" s="757"/>
      <c r="M43" s="757"/>
      <c r="N43" s="757"/>
      <c r="O43" s="757"/>
      <c r="P43" s="740" t="str">
        <f>IF(SUM(S88:U88)&gt;0,"ja","nein")</f>
        <v>nein</v>
      </c>
      <c r="Q43" s="741"/>
      <c r="R43" s="741"/>
      <c r="S43" s="741"/>
      <c r="T43" s="741"/>
      <c r="U43" s="741"/>
      <c r="V43" s="742"/>
      <c r="W43" s="742"/>
      <c r="X43" s="742"/>
      <c r="Y43" s="742"/>
      <c r="Z43" s="741"/>
      <c r="AA43" s="743"/>
      <c r="AB43" s="707" t="str">
        <f>IF(SUM(AI88:AK88)&gt;0,"ja","nein")</f>
        <v>nein</v>
      </c>
      <c r="AC43" s="708"/>
      <c r="AD43" s="708"/>
      <c r="AE43" s="708"/>
      <c r="AF43" s="708"/>
      <c r="AG43" s="709"/>
    </row>
    <row r="44" spans="2:45" ht="16.5" collapsed="1" thickBot="1" x14ac:dyDescent="0.4">
      <c r="B44" s="123" t="s">
        <v>111</v>
      </c>
      <c r="C44" s="124"/>
      <c r="D44" s="124"/>
      <c r="E44" s="124"/>
      <c r="F44" s="124"/>
      <c r="G44" s="124"/>
      <c r="H44" s="126"/>
      <c r="I44" s="125"/>
      <c r="J44" s="724">
        <f>StundenJahr4</f>
        <v>39</v>
      </c>
      <c r="K44" s="725"/>
      <c r="L44" s="724">
        <f>StundenJahr4</f>
        <v>39</v>
      </c>
      <c r="M44" s="725"/>
      <c r="N44" s="724">
        <f>StundenJahr4</f>
        <v>39</v>
      </c>
      <c r="O44" s="725"/>
      <c r="P44" s="737">
        <f>StundenJahr5</f>
        <v>39</v>
      </c>
      <c r="Q44" s="738"/>
      <c r="R44" s="127"/>
      <c r="S44" s="127"/>
      <c r="T44" s="127"/>
      <c r="U44" s="127"/>
      <c r="V44" s="758">
        <f>StundenJahr5</f>
        <v>39</v>
      </c>
      <c r="W44" s="758"/>
      <c r="X44" s="758"/>
      <c r="Y44" s="738"/>
      <c r="Z44" s="758">
        <f>StundenJahr5</f>
        <v>39</v>
      </c>
      <c r="AA44" s="738"/>
      <c r="AB44" s="724">
        <f>StundenJahr6</f>
        <v>39</v>
      </c>
      <c r="AC44" s="725"/>
      <c r="AD44" s="724">
        <f>StundenJahr6</f>
        <v>39</v>
      </c>
      <c r="AE44" s="725"/>
      <c r="AF44" s="724">
        <f>StundenJahr6</f>
        <v>39</v>
      </c>
      <c r="AG44" s="725"/>
    </row>
    <row r="45" spans="2:45" ht="16.5" thickBot="1" x14ac:dyDescent="0.4">
      <c r="B45" s="120" t="s">
        <v>89</v>
      </c>
      <c r="C45" s="94"/>
      <c r="D45" s="94"/>
      <c r="E45" s="94"/>
      <c r="F45" s="94"/>
      <c r="G45" s="94"/>
      <c r="H45" s="121"/>
      <c r="I45" s="95"/>
      <c r="J45" s="710" t="str">
        <f>IF(YEAR($N$6)&lt;$J$34,"",$O$6)</f>
        <v/>
      </c>
      <c r="K45" s="711"/>
      <c r="L45" s="710">
        <f>IF(L41&gt;0,$O$6,0)</f>
        <v>0</v>
      </c>
      <c r="M45" s="711"/>
      <c r="N45" s="726"/>
      <c r="O45" s="727"/>
      <c r="P45" s="710" t="str">
        <f>IF(YEAR($N$6)&lt;$P$34,"",$O$6)</f>
        <v/>
      </c>
      <c r="Q45" s="711"/>
      <c r="R45" s="331"/>
      <c r="S45" s="331"/>
      <c r="T45" s="331"/>
      <c r="U45" s="331"/>
      <c r="V45" s="710">
        <f>IF(V41&gt;0,$O$6,0)</f>
        <v>0</v>
      </c>
      <c r="W45" s="751"/>
      <c r="X45" s="751"/>
      <c r="Y45" s="711"/>
      <c r="Z45" s="726"/>
      <c r="AA45" s="727"/>
      <c r="AB45" s="710" t="str">
        <f>IF(YEAR($N$6)&lt;$AB$34,"",$O$6)</f>
        <v/>
      </c>
      <c r="AC45" s="711"/>
      <c r="AD45" s="710">
        <f>IF(AD41&gt;0,$O$6,0)</f>
        <v>0</v>
      </c>
      <c r="AE45" s="711"/>
      <c r="AF45" s="726"/>
      <c r="AG45" s="727"/>
    </row>
    <row r="46" spans="2:45" ht="18" thickBot="1" x14ac:dyDescent="0.4">
      <c r="B46" s="123" t="s">
        <v>173</v>
      </c>
      <c r="C46" s="124"/>
      <c r="D46" s="124"/>
      <c r="E46" s="124"/>
      <c r="F46" s="124"/>
      <c r="G46" s="124"/>
      <c r="H46" s="128"/>
      <c r="I46" s="125"/>
      <c r="J46" s="702" t="e">
        <f>IF($X$5=TRUE,ZuschlagJahr4,0)</f>
        <v>#N/A</v>
      </c>
      <c r="K46" s="703"/>
      <c r="L46" s="702" t="e">
        <f>IF($X$5=TRUE,ZuschlagJahr4,0)</f>
        <v>#N/A</v>
      </c>
      <c r="M46" s="703"/>
      <c r="N46" s="702" t="e">
        <f>IF($X$5=TRUE,ZuschlagJahr4,0)</f>
        <v>#N/A</v>
      </c>
      <c r="O46" s="703"/>
      <c r="P46" s="702" t="e">
        <f>IF($X$5=TRUE,ZuschlagJahr5,0)</f>
        <v>#N/A</v>
      </c>
      <c r="Q46" s="703"/>
      <c r="R46" s="129"/>
      <c r="S46" s="129"/>
      <c r="T46" s="129"/>
      <c r="U46" s="129"/>
      <c r="V46" s="702" t="e">
        <f>IF($X$5=TRUE,ZuschlagJahr5,0)</f>
        <v>#N/A</v>
      </c>
      <c r="W46" s="728"/>
      <c r="X46" s="728"/>
      <c r="Y46" s="703"/>
      <c r="Z46" s="702" t="e">
        <f>IF($X$5=TRUE,ZuschlagJahr5,0)</f>
        <v>#N/A</v>
      </c>
      <c r="AA46" s="703"/>
      <c r="AB46" s="702" t="e">
        <f>IF($X$5=TRUE,ZuschlagJahr6,0)</f>
        <v>#N/A</v>
      </c>
      <c r="AC46" s="703"/>
      <c r="AD46" s="702" t="e">
        <f>IF($X$5=TRUE,ZuschlagJahr6,0)</f>
        <v>#N/A</v>
      </c>
      <c r="AE46" s="703"/>
      <c r="AF46" s="702" t="e">
        <f>IF($X$5=TRUE,ZuschlagJahr6,0)</f>
        <v>#N/A</v>
      </c>
      <c r="AG46" s="703"/>
    </row>
    <row r="47" spans="2:45" x14ac:dyDescent="0.35">
      <c r="L47" s="115"/>
      <c r="M47" s="115"/>
      <c r="N47" s="115"/>
      <c r="O47" s="115"/>
      <c r="P47" s="115"/>
      <c r="Q47" s="115"/>
      <c r="R47" s="115"/>
      <c r="S47" s="115"/>
      <c r="T47" s="115"/>
      <c r="U47" s="115"/>
      <c r="V47" s="115"/>
      <c r="W47" s="115"/>
      <c r="X47" s="115"/>
      <c r="Y47" s="115"/>
    </row>
    <row r="48" spans="2:45" ht="18" x14ac:dyDescent="0.35">
      <c r="B48" s="383" t="s">
        <v>180</v>
      </c>
      <c r="L48" s="137"/>
      <c r="M48" s="137"/>
      <c r="N48" s="115"/>
      <c r="O48" s="137"/>
      <c r="P48" s="137"/>
      <c r="Q48" s="137"/>
      <c r="R48" s="137"/>
      <c r="S48" s="137"/>
      <c r="T48" s="137"/>
      <c r="U48" s="137"/>
      <c r="AS48" s="138"/>
    </row>
    <row r="49" spans="2:46" ht="18" x14ac:dyDescent="0.35">
      <c r="B49" s="383" t="s">
        <v>181</v>
      </c>
      <c r="L49" s="137"/>
      <c r="M49" s="137"/>
      <c r="N49" s="137"/>
      <c r="O49" s="137"/>
      <c r="P49" s="137"/>
      <c r="Q49" s="137"/>
      <c r="R49" s="137"/>
      <c r="S49" s="137"/>
      <c r="T49" s="137"/>
      <c r="U49" s="137"/>
    </row>
    <row r="50" spans="2:46" ht="18" x14ac:dyDescent="0.35">
      <c r="B50" s="383" t="s">
        <v>277</v>
      </c>
      <c r="C50" s="598"/>
      <c r="D50" s="598"/>
      <c r="E50" s="598"/>
      <c r="F50" s="598"/>
      <c r="G50" s="598"/>
      <c r="J50" s="139"/>
      <c r="K50" s="140"/>
      <c r="L50" s="141"/>
      <c r="M50" s="140"/>
      <c r="N50" s="137"/>
      <c r="O50" s="137"/>
      <c r="P50" s="137"/>
      <c r="Q50" s="137"/>
      <c r="R50" s="137"/>
      <c r="S50" s="137"/>
      <c r="T50" s="137"/>
      <c r="U50" s="137"/>
    </row>
    <row r="51" spans="2:46" ht="18" x14ac:dyDescent="0.35">
      <c r="B51" s="413" t="s">
        <v>276</v>
      </c>
      <c r="C51" s="598"/>
      <c r="D51" s="598"/>
      <c r="E51" s="598"/>
      <c r="F51" s="598"/>
      <c r="G51" s="598"/>
      <c r="J51" s="139"/>
      <c r="K51" s="140"/>
      <c r="L51" s="141"/>
      <c r="M51" s="140"/>
      <c r="N51" s="137"/>
      <c r="O51" s="137"/>
      <c r="P51" s="137"/>
      <c r="Q51" s="137"/>
      <c r="R51" s="137"/>
      <c r="S51" s="137"/>
      <c r="T51" s="137"/>
      <c r="U51" s="137"/>
    </row>
    <row r="52" spans="2:46" ht="24.75" hidden="1" customHeight="1" outlineLevel="1" thickBot="1" x14ac:dyDescent="0.4">
      <c r="B52" s="142" t="s">
        <v>77</v>
      </c>
      <c r="C52" s="138"/>
      <c r="D52" s="140"/>
      <c r="E52" s="140"/>
      <c r="F52" s="140"/>
      <c r="G52" s="143" t="e">
        <f>G55+V55+AL55+G75+V75+AL75</f>
        <v>#NUM!</v>
      </c>
      <c r="J52" s="138"/>
      <c r="K52" s="140"/>
      <c r="L52" s="140"/>
      <c r="M52" s="140"/>
      <c r="N52" s="137"/>
      <c r="P52" s="137"/>
      <c r="Q52" s="137"/>
      <c r="R52" s="137"/>
      <c r="S52" s="137"/>
      <c r="T52" s="137"/>
      <c r="U52" s="137"/>
    </row>
    <row r="53" spans="2:46" collapsed="1" x14ac:dyDescent="0.35">
      <c r="B53" s="383"/>
      <c r="J53" s="138"/>
      <c r="K53" s="140"/>
      <c r="L53" s="140"/>
      <c r="M53" s="140"/>
      <c r="N53" s="137"/>
      <c r="P53" s="137"/>
      <c r="Q53" s="137"/>
      <c r="R53" s="137"/>
      <c r="S53" s="137"/>
      <c r="T53" s="137"/>
      <c r="U53" s="137"/>
    </row>
    <row r="54" spans="2:46" ht="18.75" customHeight="1" thickBot="1" x14ac:dyDescent="0.4">
      <c r="G54" s="139"/>
      <c r="L54" s="137"/>
      <c r="M54" s="137"/>
      <c r="N54" s="137"/>
      <c r="O54" s="137"/>
      <c r="P54" s="137"/>
      <c r="Q54" s="137"/>
      <c r="R54" s="137"/>
      <c r="S54" s="137"/>
      <c r="T54" s="137"/>
      <c r="U54" s="137"/>
    </row>
    <row r="55" spans="2:46" ht="16.5" thickBot="1" x14ac:dyDescent="0.4">
      <c r="B55" s="144" t="s">
        <v>59</v>
      </c>
      <c r="C55" s="145"/>
      <c r="D55" s="145"/>
      <c r="E55" s="145"/>
      <c r="F55" s="145"/>
      <c r="G55" s="146" t="e">
        <f>J23+L23+N23</f>
        <v>#NUM!</v>
      </c>
      <c r="H55" s="145"/>
      <c r="L55" s="137"/>
      <c r="M55" s="137"/>
      <c r="N55" s="137"/>
      <c r="O55" s="137"/>
      <c r="P55" s="753" t="s">
        <v>59</v>
      </c>
      <c r="Q55" s="736"/>
      <c r="R55" s="147"/>
      <c r="S55" s="147"/>
      <c r="T55" s="147"/>
      <c r="U55" s="147"/>
      <c r="V55" s="735">
        <f>P23+V23+Z23</f>
        <v>0</v>
      </c>
      <c r="W55" s="736"/>
      <c r="AC55" s="137"/>
      <c r="AD55" s="137"/>
      <c r="AE55" s="137"/>
      <c r="AF55" s="720" t="s">
        <v>59</v>
      </c>
      <c r="AG55" s="721"/>
      <c r="AH55" s="148"/>
      <c r="AI55" s="148"/>
      <c r="AJ55" s="148"/>
      <c r="AK55" s="148"/>
      <c r="AL55" s="771">
        <f>AB23+AD23+AF23</f>
        <v>0</v>
      </c>
      <c r="AM55" s="734"/>
    </row>
    <row r="56" spans="2:46" x14ac:dyDescent="0.35">
      <c r="B56" s="144">
        <f>J20</f>
        <v>1900</v>
      </c>
      <c r="C56" s="145" t="s">
        <v>31</v>
      </c>
      <c r="D56" s="145" t="s">
        <v>32</v>
      </c>
      <c r="E56" s="145" t="s">
        <v>33</v>
      </c>
      <c r="F56" s="145" t="s">
        <v>34</v>
      </c>
      <c r="G56" s="145" t="s">
        <v>5</v>
      </c>
      <c r="H56" s="145" t="s">
        <v>6</v>
      </c>
      <c r="I56" s="145" t="s">
        <v>299</v>
      </c>
      <c r="J56" s="145" t="s">
        <v>7</v>
      </c>
      <c r="K56" s="145" t="s">
        <v>8</v>
      </c>
      <c r="L56" s="145" t="s">
        <v>9</v>
      </c>
      <c r="M56" s="145" t="s">
        <v>10</v>
      </c>
      <c r="N56" s="145" t="s">
        <v>11</v>
      </c>
      <c r="O56" s="149"/>
      <c r="P56" s="753">
        <f>B56+1</f>
        <v>1901</v>
      </c>
      <c r="Q56" s="736"/>
      <c r="R56" s="147" t="s">
        <v>31</v>
      </c>
      <c r="S56" s="147" t="s">
        <v>32</v>
      </c>
      <c r="T56" s="147" t="s">
        <v>33</v>
      </c>
      <c r="U56" s="147" t="s">
        <v>34</v>
      </c>
      <c r="V56" s="752" t="s">
        <v>5</v>
      </c>
      <c r="W56" s="736"/>
      <c r="X56" s="147" t="s">
        <v>6</v>
      </c>
      <c r="Y56" s="147" t="s">
        <v>299</v>
      </c>
      <c r="Z56" s="147" t="s">
        <v>7</v>
      </c>
      <c r="AA56" s="147" t="s">
        <v>8</v>
      </c>
      <c r="AB56" s="147" t="s">
        <v>9</v>
      </c>
      <c r="AC56" s="147" t="s">
        <v>10</v>
      </c>
      <c r="AD56" s="147" t="s">
        <v>11</v>
      </c>
      <c r="AF56" s="718">
        <f>P56+1</f>
        <v>1902</v>
      </c>
      <c r="AG56" s="719"/>
      <c r="AH56" s="148" t="s">
        <v>31</v>
      </c>
      <c r="AI56" s="148" t="s">
        <v>32</v>
      </c>
      <c r="AJ56" s="148" t="s">
        <v>33</v>
      </c>
      <c r="AK56" s="148" t="s">
        <v>34</v>
      </c>
      <c r="AL56" s="733" t="s">
        <v>5</v>
      </c>
      <c r="AM56" s="734"/>
      <c r="AN56" s="150" t="s">
        <v>6</v>
      </c>
      <c r="AO56" s="150" t="s">
        <v>299</v>
      </c>
      <c r="AP56" s="150" t="s">
        <v>7</v>
      </c>
      <c r="AQ56" s="150" t="s">
        <v>8</v>
      </c>
      <c r="AR56" s="150" t="s">
        <v>9</v>
      </c>
      <c r="AS56" s="150" t="s">
        <v>10</v>
      </c>
      <c r="AT56" s="150" t="s">
        <v>11</v>
      </c>
    </row>
    <row r="57" spans="2:46" x14ac:dyDescent="0.35">
      <c r="B57" s="151" t="s">
        <v>12</v>
      </c>
      <c r="C57" s="152">
        <f>EOMONTH(CONCATENATE("01.","01.",$B$56),0)</f>
        <v>31</v>
      </c>
      <c r="D57" s="153" t="e">
        <f t="shared" ref="D57:D68" si="0">IF($J$22="",0,IF(AND(DAY($J$22)&gt;1,MONTH(C57)=MONTH($J$22)),$K$23,IF(AND(C57&gt;=$J$22,C57&lt;=$K$22),30,IF((MONTH(C57)=MONTH($K$22)),DAY($K$22),0))))</f>
        <v>#VALUE!</v>
      </c>
      <c r="E57" s="153" t="e">
        <f t="shared" ref="E57:E68" si="1">IF($L$22="",0,IF(C57&lt;$L$22,0,IF(AND(MONTH($L$22)=MONTH($M$22),MONTH(C57)=MONTH($M$22)),$M$23,IF(AND(MONTH($L$22)&lt;&gt;MONTH($M$22),MONTH(C57)=MONTH($L$22)),$M$23,IF(AND(D57&gt;0,DAY($J$22)&gt;1,MONTH($J$22)=MONTH($K$22)),30-D57-DAY($J$22)+1,IF(AND(D57&gt;0,DAY($J$22)&gt;1),30-D57,(IF(D57&gt;0,30-D57,IF(AND(C57&gt;=$L$22,C57&lt;=$M$22),30,IF((MONTH(C57)=MONTH($M$22)),DAY($M$22),0))))))))))</f>
        <v>#VALUE!</v>
      </c>
      <c r="F57" s="153">
        <f>IF($N$22="",0,IF(C57&lt;$N$22,0,IF(AND(MONTH($N$22)=MONTH($O$22),MONTH(C57)=MONTH($O$22)),$O$23,IF(AND(MONTH($N$22)&lt;&gt;MONTH($O$22),MONTH(C57)=MONTH($N$22)),$O$23,IF(AND(E57&gt;0,MONTH($N$22)=MONTH($M$22)),30-DAY($M$22),(IF(E57&gt;0,30-D57-E57,IF(AND(C57&gt;=$N$22,C57&lt;=$O$22),30,IF((MONTH(C57)=MONTH($O$22)),DAY($O$22),0)))))))))</f>
        <v>0</v>
      </c>
      <c r="G57" s="154" t="e">
        <f>IF($B$56=2026,((D57*$J$24/30)+(E57*$L$24/30)+(F57*$N$24/30))*100/102.8,
IF($B$56=2027,((D57*$J$24/30)+(E57*$L$24/30)+(F57*$N$24/30))*100/102,
IF(AND($B$56=2028,$X$5=TRUE),((D57*$J$24/30)+(E57*$L$24/30)+(F57*$N$24/30))*100/102,
(D57*$J$24/30)+(E57*$L$24/30)+(F57*$N$24/30))))</f>
        <v>#VALUE!</v>
      </c>
      <c r="H57" s="155" t="e">
        <f t="shared" ref="H57:H68" si="2">IF(AND(SUM(D57:F57)=30,F57&gt;0),$N$24*$N$28,IF(AND(SUM(D57:F57)=30,E57&gt;0),$L$24*$L$28,IF(AND(SUM(D57:F57)=30,D57&gt;0),$J$24*$J$28,"")))</f>
        <v>#VALUE!</v>
      </c>
      <c r="I57" s="156" t="e">
        <f>IF(AND($X$9=TRUE,G57&gt;0,$B$56&lt;&gt;2026),(MZJahr1*$O$10),0)</f>
        <v>#VALUE!</v>
      </c>
      <c r="J57" s="155">
        <v>0</v>
      </c>
      <c r="K57" s="156" t="e">
        <f>IF(G57&gt;=Bmg2Jahr1,AGHBTR_Jahr1,IF('HR-DM (U3,U4,U5AUF)'!G57&gt;=Bmg1Jahr1,(RvBeitrJahr1*G57)+(AvBeitrJahr1*G57)+(U2UmlJahr1*G57)+HBetrKVJahr1+HBetrPVJahr1,AGBTR_Jahr1*G57))</f>
        <v>#VALUE!</v>
      </c>
      <c r="L57" s="156" t="e">
        <f t="shared" ref="L57:L68" si="3">IF($X$8=TRUE,VZunbDM1*(G57+J57+K57+I57-U2UmlJahr1*(G57+J57)),VzDmJahr1*(G57+J57))</f>
        <v>#N/A</v>
      </c>
      <c r="M57" s="156" t="e">
        <f t="shared" ref="M57:M68" si="4">IF(G57&gt;0,(LukJahr1*$W$6),0)</f>
        <v>#VALUE!</v>
      </c>
      <c r="N57" s="156" t="e">
        <f>SUM(G57,J57,K57,L57,M57+I57)</f>
        <v>#VALUE!</v>
      </c>
      <c r="O57" s="157"/>
      <c r="P57" s="667" t="s">
        <v>12</v>
      </c>
      <c r="Q57" s="668"/>
      <c r="R57" s="152">
        <f>EOMONTH(CONCATENATE("01.","01.",$P$56),0)</f>
        <v>397</v>
      </c>
      <c r="S57" s="153">
        <f>IF($P$22="",0,IF(AND(DAY($P$22)&gt;1,MONTH(R57)=MONTH($P$22)),$Q$23,IF(AND(R57&gt;=$P$22,R57&lt;=$Q$22),30,IF((MONTH(R57)=MONTH($Q$22)),DAY($Q$22),0))))</f>
        <v>0</v>
      </c>
      <c r="T57" s="153">
        <f>IF($V$22="",0,IF(R57&lt;$V$22,0,IF(AND(MONTH($V$22)=MONTH($W$22),MONTH(R57)=MONTH($W$22)),$W$23,IF(AND(MONTH($V$22)&lt;&gt;MONTH($W$22),MONTH(R57)=MONTH($V$22)),$W$23,IF(AND(S57&gt;0,DAY($P$22)&gt;1,MONTH($P$22)=MONTH($Q$22)),30-S57-DAY($P$22)+1,IF(AND(S57&gt;0,DAY($P$22)&gt;1),30-S57,(IF(S57&gt;0,30-S57,IF(AND(R57&gt;=$V$22,R57&lt;=$W$22),30,IF((MONTH(R57)=MONTH($W$22)),DAY($W$22),0))))))))))</f>
        <v>0</v>
      </c>
      <c r="U57" s="153">
        <f t="shared" ref="U57:U68" si="5">IF($Z$22="",0,IF(R57&lt;$Z$22,0,IF(AND(MONTH($Z$22)=MONTH($AA$22),MONTH(R57)=MONTH($AA$22)),$AA$23,IF(AND(MONTH($Z$22)&lt;&gt;MONTH($AA$22),MONTH(R57)=MONTH($Z$22)),$AA$23,IF(AND(T57&gt;0,MONTH($Z$22)=MONTH($W$22)),30-DAY($W$22),(IF(T57&gt;0,30-S57-T57,IF(AND(R57&gt;=$Z$22,R57&lt;=$AA$22),30,IF((MONTH(R57)=MONTH($AA$22)),DAY($AA$22),0)))))))))</f>
        <v>0</v>
      </c>
      <c r="V57" s="677">
        <f>IF($P$56=2027,((S57*$P$24/30)+(T57*$V$24/30)+(U57*$Z$24/30))*100/102,
IF(AND($P$56=2028,$X$5=TRUE),((S57*$P$24/30)+(T57*$V$24/30)+(U57*$Z$24/30))*100/102,
(S57*$P$24/30)+(T57*$V$24/30)+(U57*$Z$24/30)))</f>
        <v>0</v>
      </c>
      <c r="W57" s="678"/>
      <c r="X57" s="155" t="str">
        <f t="shared" ref="X57:X68" si="6">IF(AND(SUM(S57:U57)=30,U57&gt;0),$Z$24*$Z$28,IF(AND(SUM(S57:U57)=30,T57&gt;0),$V$24*$V$28,IF(AND(SUM(S57:U57)=30,S57&gt;0),$P$24*$P$28,"")))</f>
        <v/>
      </c>
      <c r="Y57" s="156">
        <f t="shared" ref="Y57:Y68" si="7">IF(AND($X$9=TRUE,V57&gt;0),(MZJahr2*$O$10),0)</f>
        <v>0</v>
      </c>
      <c r="Z57" s="155">
        <v>0</v>
      </c>
      <c r="AA57" s="156" t="e">
        <f>IF(V57&gt;=Bmg2Jahr1,AGHBTR_Jahr2,IF('HR-DM (U3,U4,U5AUF)'!V57&gt;=Bmg1Jahr1,(RvBeitrJahr1*V57)+(AvBeitrJahr2*V57)+(U2UmlJahr2*V57)+HBetrKVJahr2+HBetrPVJahr1,AGBTR_Jahr2*V57))</f>
        <v>#N/A</v>
      </c>
      <c r="AB57" s="156" t="e">
        <f t="shared" ref="AB57:AB68" si="8">IF($X$8=TRUE,VZunbDM1*(U57+Y57+Z57+AA57-U2UmlJahr1*(V57+Z57)),VzDmJahr1*(V57+Z57))</f>
        <v>#N/A</v>
      </c>
      <c r="AC57" s="156">
        <f t="shared" ref="AC57:AC68" si="9">IF(V57&gt;0,(LukJahr2*$W$6),0)</f>
        <v>0</v>
      </c>
      <c r="AD57" s="156" t="e">
        <f t="shared" ref="AD57:AD68" si="10">SUM(V57,Z57,AA57,AB57,AC57+Y57)</f>
        <v>#N/A</v>
      </c>
      <c r="AE57" s="158"/>
      <c r="AF57" s="667" t="s">
        <v>12</v>
      </c>
      <c r="AG57" s="668"/>
      <c r="AH57" s="152">
        <f>EOMONTH(CONCATENATE("01.","01.",$AF$56),0)</f>
        <v>762</v>
      </c>
      <c r="AI57" s="153">
        <f t="shared" ref="AI57:AI68" si="11">IF($AB$22="",0,IF(AND(DAY($AB$22)&gt;1,MONTH(AH57)=MONTH($AB$22)),$AC$23,IF(AND(AH57&gt;=$AB$22,AH57&lt;=$AC$22),30,IF((MONTH(AH57)=MONTH($AC$22)),DAY($AC$22),0))))</f>
        <v>0</v>
      </c>
      <c r="AJ57" s="153">
        <f t="shared" ref="AJ57:AJ68" si="12">IF($AD$22="",0,IF(AH57&lt;$AD$22,0,IF(AND(MONTH($AD$22)=MONTH($AE$22),MONTH(AH57)=MONTH($AE$22)),$AE$23,IF(AND(MONTH($AD$22)&lt;&gt;MONTH($AE$22),MONTH(AH57)=MONTH($AD$22)),$AE$23,IF(AND(AI57&gt;0,DAY($AB$22)&gt;1,MONTH($AB$22)=MONTH($AC$22)),30-AI57-DAY($AB$22)+1,IF(AND(AI57&gt;0,DAY($AB$22)&gt;1),30-AI57,(IF(AI57&gt;0,30-AI57,IF(AND(AH57&gt;=$AD$22,AH57&lt;=$AE$22),30,IF((MONTH(AH57)=MONTH($AE$22)),DAY($AE$22),0))))))))))</f>
        <v>0</v>
      </c>
      <c r="AK57" s="153">
        <f t="shared" ref="AK57:AK68" si="13">IF($AF$22="",0,IF(AH57&lt;$AF$22,0,IF(AND(MONTH($AF$22)=MONTH($AG$22),MONTH(AH57)=MONTH($AG$22)),$AG$23,IF(AND(MONTH($AF$22)&lt;&gt;MONTH($AG$22),MONTH(AH57)=MONTH($AF$22)),$AG$23,IF(AND(AJ57&gt;0,MONTH($AF$22)=MONTH($AE$22)),30-DAY($AE$22),(IF(AJ57&gt;0,30-AI57-AJ57,IF(AND(AH57&gt;=$AF$22,AH57&lt;=$AG$22),30,IF((MONTH(AH57)=MONTH($AG$22)),DAY($AG$22),0)))))))))</f>
        <v>0</v>
      </c>
      <c r="AL57" s="677">
        <f t="shared" ref="AL57:AL62" si="14">IF(AND($AF$56=2028,$X$5=TRUE),((AI57*$AB$24/30)+(AJ57*$AD$24/30)+(AK57*$AF$24/30))*100/102,(AI57*$AB$24/30)+(AJ57*$AD$24/30)+(AK57*$AF$24/30))</f>
        <v>0</v>
      </c>
      <c r="AM57" s="678"/>
      <c r="AN57" s="155" t="str">
        <f t="shared" ref="AN57:AN68" si="15">IF(AND(SUM(AI57:AK57)=30,AK57&gt;0),$AF$24*$AF$28,IF(AND(SUM(AI57:AK57)=30,AJ57&gt;0),$AD$24*$AD$28,IF(AND(SUM(AI57:AK57)=30,AI57&gt;0),$AB$24*$AB$28,"")))</f>
        <v/>
      </c>
      <c r="AO57" s="156">
        <f t="shared" ref="AO57:AO68" si="16">IF(AND($X$9=TRUE,AL57&gt;0),(MZJahr3*$O$10),0)</f>
        <v>0</v>
      </c>
      <c r="AP57" s="155">
        <v>0</v>
      </c>
      <c r="AQ57" s="156" t="e">
        <f>IF(AL57&gt;=Bmg2Jahr3,AGHBTR_Jahr3,IF('HR-DM (U3,U4,U5AUF)'!AL57&gt;=Bmg1Jahr3,(RvBeitrJahr3*AL57)+(AvBeitrJahr3*AL57)+(U2UmlJahr3*AL57)+HBetrKVJahr3+HBetrPVJahr3,AGBTR_Jahr3*AL57))</f>
        <v>#N/A</v>
      </c>
      <c r="AR57" s="156" t="e">
        <f t="shared" ref="AR57:AR68" si="17">IF($X$8=TRUE,VZunbDM1*(AK57+AO57+AP57+AQ57-U2UmlJahr1*(AL57+AP57)),VzDmJahr1*(AL57+AP57))</f>
        <v>#N/A</v>
      </c>
      <c r="AS57" s="156">
        <f t="shared" ref="AS57:AS68" si="18">IF(AL57&gt;0,(LukJahr3*$W$6),0)</f>
        <v>0</v>
      </c>
      <c r="AT57" s="156" t="e">
        <f>SUM(AL57,AP57,AQ57,AR57,AS57+AO57)</f>
        <v>#N/A</v>
      </c>
    </row>
    <row r="58" spans="2:46" x14ac:dyDescent="0.35">
      <c r="B58" s="151" t="s">
        <v>13</v>
      </c>
      <c r="C58" s="152">
        <f>EOMONTH(CONCATENATE("01.","01.",$B$56),1)</f>
        <v>59</v>
      </c>
      <c r="D58" s="153" t="e">
        <f t="shared" si="0"/>
        <v>#VALUE!</v>
      </c>
      <c r="E58" s="153" t="e">
        <f t="shared" si="1"/>
        <v>#VALUE!</v>
      </c>
      <c r="F58" s="153">
        <f t="shared" ref="F58:F68" si="19">IF($N$22="",0,IF(C58&lt;$N$22,0,IF(AND(MONTH($N$22)=MONTH($O$22),MONTH(C58)=MONTH($O$22)),$O$23,IF(AND(MONTH($N$22)&lt;&gt;MONTH($O$22),MONTH(C58)=MONTH($N$22)),$O$23,IF(AND(E58&gt;0,MONTH($N$22)=MONTH($M$22)),30-DAY($M$22),(IF(E58&gt;0,30-D58-E58,IF(AND(C58&gt;=$N$22,C58&lt;=$O$22),30,IF((MONTH(C58)=MONTH($O$22)),DAY($O$22),0)))))))))</f>
        <v>0</v>
      </c>
      <c r="G58" s="154" t="e">
        <f>IF($B$56=2026,((D58*$J$24/30)+(E58*$L$24/30)+(F58*$N$24/30))*100/102.8,
IF($B$56=2027,((D58*$J$24/30)+(E58*$L$24/30)+(F58*$N$24/30))*100/102,
IF(AND($B$56=2028,$X$5=TRUE),((D58*$J$24/30)+(E58*$L$24/30)+(F58*$N$24/30))*100/102,
(D58*$J$24/30)+(E58*$L$24/30)+(F58*$N$24/30))))</f>
        <v>#VALUE!</v>
      </c>
      <c r="H58" s="155" t="e">
        <f t="shared" si="2"/>
        <v>#VALUE!</v>
      </c>
      <c r="I58" s="156" t="e">
        <f>IF(AND($X$9=TRUE,G58&gt;0,$B$56&lt;&gt;2026),(MZJahr1*$O$10),0)</f>
        <v>#VALUE!</v>
      </c>
      <c r="J58" s="155">
        <v>0</v>
      </c>
      <c r="K58" s="156" t="e">
        <f>IF(G58&gt;=Bmg2Jahr1,AGHBTR_Jahr1,IF('HR-DM (U3,U4,U5AUF)'!G58&gt;=Bmg1Jahr1,(RvBeitrJahr1*G58)+(AvBeitrJahr1*G58)+(U2UmlJahr1*G58)+HBetrKVJahr1+HBetrPVJahr1,AGBTR_Jahr1*G58))</f>
        <v>#VALUE!</v>
      </c>
      <c r="L58" s="156" t="e">
        <f t="shared" si="3"/>
        <v>#N/A</v>
      </c>
      <c r="M58" s="156" t="e">
        <f t="shared" si="4"/>
        <v>#VALUE!</v>
      </c>
      <c r="N58" s="156" t="e">
        <f t="shared" ref="N58:N68" si="20">SUM(G58,J58,K58,L58,M58+I58)</f>
        <v>#VALUE!</v>
      </c>
      <c r="O58" s="157"/>
      <c r="P58" s="667" t="s">
        <v>13</v>
      </c>
      <c r="Q58" s="668"/>
      <c r="R58" s="152">
        <f>EOMONTH(CONCATENATE("01.","01.",$P$56),1)</f>
        <v>425</v>
      </c>
      <c r="S58" s="153">
        <f t="shared" ref="S58:S68" si="21">IF($P$22="",0,IF(AND(DAY($P$22)&gt;1,MONTH(R58)=MONTH($P$22)),$Q$23,IF(AND(R58&gt;=$P$22,R58&lt;=$Q$22),30,IF((MONTH(R58)=MONTH($Q$22)),DAY($Q$22),0))))</f>
        <v>0</v>
      </c>
      <c r="T58" s="153">
        <f t="shared" ref="T58:T68" si="22">IF($V$22="",0,IF(R58&lt;$V$22,0,IF(AND(MONTH($V$22)=MONTH($W$22),MONTH(R58)=MONTH($W$22)),$W$23,IF(AND(MONTH($V$22)&lt;&gt;MONTH($W$22),MONTH(R58)=MONTH($V$22)),$W$23,IF(AND(S58&gt;0,DAY($P$22)&gt;1,MONTH($P$22)=MONTH($Q$22)),30-S58-DAY($P$22)+1,IF(AND(S58&gt;0,DAY($P$22)&gt;1),30-S58,(IF(S58&gt;0,30-S58,IF(AND(R58&gt;=$V$22,R58&lt;=$W$22),30,IF((MONTH(R58)=MONTH($W$22)),DAY($W$22),0))))))))))</f>
        <v>0</v>
      </c>
      <c r="U58" s="153">
        <f t="shared" si="5"/>
        <v>0</v>
      </c>
      <c r="V58" s="677">
        <f>IF($P$56=2027,((S58*$P$24/30)+(T58*$V$24/30)+(U58*$Z$24/30))*100/102,
IF(AND($P$56=2028,$X$5=TRUE),((S58*$P$24/30)+(T58*$V$24/30)+(U58*$Z$24/30))*100/102,
(S58*$P$24/30)+(T58*$V$24/30)+(U58*$Z$24/30)))</f>
        <v>0</v>
      </c>
      <c r="W58" s="678"/>
      <c r="X58" s="155" t="str">
        <f t="shared" si="6"/>
        <v/>
      </c>
      <c r="Y58" s="156">
        <f t="shared" si="7"/>
        <v>0</v>
      </c>
      <c r="Z58" s="155">
        <v>0</v>
      </c>
      <c r="AA58" s="156" t="e">
        <f>IF(V58&gt;=Bmg2Jahr1,AGHBTR_Jahr1,IF('HR-DM (U3,U4,U5AUF)'!V58&gt;=Bmg1Jahr1,(RvBeitrJahr1*V58)+(AvBeitrJahr1*V58)+(U2UmlJahr1*V58)+HBetrKVJahr1+HBetrPVJahr1,AGBTR_Jahr1*V58))</f>
        <v>#N/A</v>
      </c>
      <c r="AB58" s="156" t="e">
        <f t="shared" si="8"/>
        <v>#N/A</v>
      </c>
      <c r="AC58" s="156">
        <f t="shared" si="9"/>
        <v>0</v>
      </c>
      <c r="AD58" s="156" t="e">
        <f t="shared" si="10"/>
        <v>#N/A</v>
      </c>
      <c r="AE58" s="158"/>
      <c r="AF58" s="667" t="s">
        <v>13</v>
      </c>
      <c r="AG58" s="668"/>
      <c r="AH58" s="152">
        <f>EOMONTH(CONCATENATE("01.","01.",$AF$56),1)</f>
        <v>790</v>
      </c>
      <c r="AI58" s="153">
        <f t="shared" si="11"/>
        <v>0</v>
      </c>
      <c r="AJ58" s="153">
        <f t="shared" si="12"/>
        <v>0</v>
      </c>
      <c r="AK58" s="153">
        <f t="shared" si="13"/>
        <v>0</v>
      </c>
      <c r="AL58" s="677">
        <f t="shared" si="14"/>
        <v>0</v>
      </c>
      <c r="AM58" s="678"/>
      <c r="AN58" s="155" t="str">
        <f t="shared" si="15"/>
        <v/>
      </c>
      <c r="AO58" s="156">
        <f t="shared" si="16"/>
        <v>0</v>
      </c>
      <c r="AP58" s="155">
        <v>0</v>
      </c>
      <c r="AQ58" s="156" t="e">
        <f>IF(AL58&gt;=Bmg2Jahr3,AGHBTR_Jahr3,IF('HR-DM (U3,U4,U5AUF)'!AL58&gt;=Bmg1Jahr3,(RvBeitrJahr3*AL58)+(AvBeitrJahr3*AL58)+(U2UmlJahr3*AL58)+HBetrKVJahr3+HBetrPVJahr3,AGBTR_Jahr3*AL58))</f>
        <v>#N/A</v>
      </c>
      <c r="AR58" s="156" t="e">
        <f t="shared" si="17"/>
        <v>#N/A</v>
      </c>
      <c r="AS58" s="156">
        <f t="shared" si="18"/>
        <v>0</v>
      </c>
      <c r="AT58" s="156" t="e">
        <f t="shared" ref="AT58:AT68" si="23">SUM(AL58,AP58,AQ58,AR58,AS58+AO58)</f>
        <v>#N/A</v>
      </c>
    </row>
    <row r="59" spans="2:46" x14ac:dyDescent="0.35">
      <c r="B59" s="151" t="s">
        <v>14</v>
      </c>
      <c r="C59" s="152">
        <f>EOMONTH(CONCATENATE("01.","01.",$B$56),2)</f>
        <v>91</v>
      </c>
      <c r="D59" s="153" t="e">
        <f t="shared" si="0"/>
        <v>#VALUE!</v>
      </c>
      <c r="E59" s="153" t="e">
        <f t="shared" si="1"/>
        <v>#VALUE!</v>
      </c>
      <c r="F59" s="153">
        <f t="shared" si="19"/>
        <v>0</v>
      </c>
      <c r="G59" s="154" t="e">
        <f>IF($B$56=2026,((D59*$J$24/30)+(E59*$L$24/30)+(F59*$N$24/30))*100/102.8,
IF(AND($B$56=2028,$X$5=TRUE),((D59*$J$24/30)+(E59*$L$24/30)+(F59*$N$24/30))*100/102,
(D59*$J$24/30)+(E59*$L$24/30)+(F59*$N$24/30)))</f>
        <v>#VALUE!</v>
      </c>
      <c r="H59" s="155" t="e">
        <f t="shared" si="2"/>
        <v>#VALUE!</v>
      </c>
      <c r="I59" s="156" t="e">
        <f>IF(AND($X$9=TRUE,G59&gt;0,$B$56&lt;&gt;2026),(MZJahr1*$O$10),0)</f>
        <v>#VALUE!</v>
      </c>
      <c r="J59" s="155">
        <v>0</v>
      </c>
      <c r="K59" s="156" t="e">
        <f>IF(G59&gt;=Bmg2Jahr1,AGHBTR_Jahr1,IF('HR-DM (U3,U4,U5AUF)'!G59&gt;=Bmg1Jahr1,(RvBeitrJahr1*G59)+(AvBeitrJahr1*G59)+(U2UmlJahr1*G59)+HBetrKVJahr1+HBetrPVJahr1,AGBTR_Jahr1*G59))</f>
        <v>#VALUE!</v>
      </c>
      <c r="L59" s="156" t="e">
        <f t="shared" si="3"/>
        <v>#N/A</v>
      </c>
      <c r="M59" s="156" t="e">
        <f t="shared" si="4"/>
        <v>#VALUE!</v>
      </c>
      <c r="N59" s="156" t="e">
        <f t="shared" si="20"/>
        <v>#VALUE!</v>
      </c>
      <c r="O59" s="157"/>
      <c r="P59" s="667" t="s">
        <v>14</v>
      </c>
      <c r="Q59" s="668"/>
      <c r="R59" s="152">
        <f>EOMONTH(CONCATENATE("01.","01.",$P$56),2)</f>
        <v>456</v>
      </c>
      <c r="S59" s="153">
        <f t="shared" si="21"/>
        <v>0</v>
      </c>
      <c r="T59" s="153">
        <f t="shared" si="22"/>
        <v>0</v>
      </c>
      <c r="U59" s="153">
        <f t="shared" si="5"/>
        <v>0</v>
      </c>
      <c r="V59" s="677">
        <f>IF(AND($P$56=2028,$X$5=TRUE),((S59*$P$24/30)+(T59*$V$24/30)+(U59*$Z$24/30))*100/102,
(S59*$P$24/30)+(T59*$V$24/30)+(U59*$Z$24/30))</f>
        <v>0</v>
      </c>
      <c r="W59" s="678"/>
      <c r="X59" s="155" t="str">
        <f t="shared" si="6"/>
        <v/>
      </c>
      <c r="Y59" s="156">
        <f t="shared" si="7"/>
        <v>0</v>
      </c>
      <c r="Z59" s="155">
        <v>0</v>
      </c>
      <c r="AA59" s="156" t="e">
        <f>IF(V59&gt;=Bmg2Jahr1,AGHBTR_Jahr1,IF('HR-DM (U3,U4,U5AUF)'!V59&gt;=Bmg1Jahr1,(RvBeitrJahr1*V59)+(AvBeitrJahr1*V59)+(U2UmlJahr1*V59)+HBetrKVJahr1+HBetrPVJahr1,AGBTR_Jahr1*V59))</f>
        <v>#N/A</v>
      </c>
      <c r="AB59" s="156" t="e">
        <f t="shared" si="8"/>
        <v>#N/A</v>
      </c>
      <c r="AC59" s="156">
        <f t="shared" si="9"/>
        <v>0</v>
      </c>
      <c r="AD59" s="156" t="e">
        <f t="shared" si="10"/>
        <v>#N/A</v>
      </c>
      <c r="AE59" s="158"/>
      <c r="AF59" s="667" t="s">
        <v>14</v>
      </c>
      <c r="AG59" s="668"/>
      <c r="AH59" s="152">
        <f>EOMONTH(CONCATENATE("01.","01.",$AF$56),2)</f>
        <v>821</v>
      </c>
      <c r="AI59" s="153">
        <f t="shared" si="11"/>
        <v>0</v>
      </c>
      <c r="AJ59" s="153">
        <f t="shared" si="12"/>
        <v>0</v>
      </c>
      <c r="AK59" s="153">
        <f t="shared" si="13"/>
        <v>0</v>
      </c>
      <c r="AL59" s="677">
        <f t="shared" si="14"/>
        <v>0</v>
      </c>
      <c r="AM59" s="678"/>
      <c r="AN59" s="155" t="str">
        <f t="shared" si="15"/>
        <v/>
      </c>
      <c r="AO59" s="156">
        <f t="shared" si="16"/>
        <v>0</v>
      </c>
      <c r="AP59" s="155">
        <v>0</v>
      </c>
      <c r="AQ59" s="156" t="e">
        <f>IF(AL59&gt;=Bmg2Jahr3,AGHBTR_Jahr3,IF('HR-DM (U3,U4,U5AUF)'!AL59&gt;=Bmg1Jahr3,(RvBeitrJahr3*AL59)+(AvBeitrJahr3*AL59)+(U2UmlJahr3*AL59)+HBetrKVJahr3+HBetrPVJahr3,AGBTR_Jahr3*AL59))</f>
        <v>#N/A</v>
      </c>
      <c r="AR59" s="156" t="e">
        <f t="shared" si="17"/>
        <v>#N/A</v>
      </c>
      <c r="AS59" s="156">
        <f t="shared" si="18"/>
        <v>0</v>
      </c>
      <c r="AT59" s="156" t="e">
        <f t="shared" si="23"/>
        <v>#N/A</v>
      </c>
    </row>
    <row r="60" spans="2:46" x14ac:dyDescent="0.35">
      <c r="B60" s="151" t="s">
        <v>15</v>
      </c>
      <c r="C60" s="152">
        <f>EOMONTH(CONCATENATE("01.","01.",$B$56),3)</f>
        <v>121</v>
      </c>
      <c r="D60" s="153" t="e">
        <f t="shared" si="0"/>
        <v>#VALUE!</v>
      </c>
      <c r="E60" s="153" t="e">
        <f t="shared" si="1"/>
        <v>#VALUE!</v>
      </c>
      <c r="F60" s="153">
        <f t="shared" si="19"/>
        <v>0</v>
      </c>
      <c r="G60" s="154" t="e">
        <f>IF(AND($B$56=2028,$X$5=TRUE),((D60*$J$24/30)+(E60*$L$24/30)+(F60*$N$24/30))*100/102,
(D60*$J$24/30)+(E60*$L$24/30)+(F60*$N$24/30))</f>
        <v>#VALUE!</v>
      </c>
      <c r="H60" s="155" t="e">
        <f t="shared" si="2"/>
        <v>#VALUE!</v>
      </c>
      <c r="I60" s="156" t="e">
        <f t="shared" ref="I60:I68" si="24">IF(AND($X$9=TRUE,G60&gt;0),(MZJahr1*$O$10),0)</f>
        <v>#VALUE!</v>
      </c>
      <c r="J60" s="155">
        <v>0</v>
      </c>
      <c r="K60" s="156" t="e">
        <f>IF(G60&gt;=Bmg2Jahr1,AGHBTR_Jahr1,IF('HR-DM (U3,U4,U5AUF)'!G60&gt;=Bmg1Jahr1,(RvBeitrJahr1*G60)+(AvBeitrJahr1*G60)+(U2UmlJahr1*G60)+HBetrKVJahr1+HBetrPVJahr1,AGBTR_Jahr1*G60))</f>
        <v>#VALUE!</v>
      </c>
      <c r="L60" s="156" t="e">
        <f t="shared" si="3"/>
        <v>#N/A</v>
      </c>
      <c r="M60" s="156" t="e">
        <f t="shared" si="4"/>
        <v>#VALUE!</v>
      </c>
      <c r="N60" s="156" t="e">
        <f>SUM(G60,J60,K60,L60,M60+I60)</f>
        <v>#VALUE!</v>
      </c>
      <c r="O60" s="157"/>
      <c r="P60" s="667" t="s">
        <v>15</v>
      </c>
      <c r="Q60" s="668"/>
      <c r="R60" s="152">
        <f>EOMONTH(CONCATENATE("01.","01.",$P$56),3)</f>
        <v>486</v>
      </c>
      <c r="S60" s="153">
        <f t="shared" si="21"/>
        <v>0</v>
      </c>
      <c r="T60" s="153">
        <f t="shared" si="22"/>
        <v>0</v>
      </c>
      <c r="U60" s="153">
        <f t="shared" si="5"/>
        <v>0</v>
      </c>
      <c r="V60" s="677">
        <f>IF(AND($P$56=2028,$X$5=TRUE),((S60*$P$24/30)+(T60*$V$24/30)+(U60*$Z$24/30))*100/102,
(S60*$P$24/30)+(T60*$V$24/30)+(U60*$Z$24/30))</f>
        <v>0</v>
      </c>
      <c r="W60" s="678"/>
      <c r="X60" s="155" t="str">
        <f t="shared" si="6"/>
        <v/>
      </c>
      <c r="Y60" s="156">
        <f t="shared" si="7"/>
        <v>0</v>
      </c>
      <c r="Z60" s="155">
        <v>0</v>
      </c>
      <c r="AA60" s="156" t="e">
        <f>IF(V60&gt;=Bmg2Jahr1,AGHBTR_Jahr1,IF('HR-DM (U3,U4,U5AUF)'!V60&gt;=Bmg1Jahr1,(RvBeitrJahr1*V60)+(AvBeitrJahr1*V60)+(U2UmlJahr1*V60)+HBetrKVJahr1+HBetrPVJahr1,AGBTR_Jahr1*V60))</f>
        <v>#N/A</v>
      </c>
      <c r="AB60" s="156" t="e">
        <f t="shared" si="8"/>
        <v>#N/A</v>
      </c>
      <c r="AC60" s="156">
        <f t="shared" si="9"/>
        <v>0</v>
      </c>
      <c r="AD60" s="156" t="e">
        <f t="shared" si="10"/>
        <v>#N/A</v>
      </c>
      <c r="AE60" s="158"/>
      <c r="AF60" s="667" t="s">
        <v>15</v>
      </c>
      <c r="AG60" s="668"/>
      <c r="AH60" s="152">
        <f>EOMONTH(CONCATENATE("01.","01.",$AF$56),3)</f>
        <v>851</v>
      </c>
      <c r="AI60" s="153">
        <f t="shared" si="11"/>
        <v>0</v>
      </c>
      <c r="AJ60" s="153">
        <f t="shared" si="12"/>
        <v>0</v>
      </c>
      <c r="AK60" s="153">
        <f t="shared" si="13"/>
        <v>0</v>
      </c>
      <c r="AL60" s="677">
        <f t="shared" si="14"/>
        <v>0</v>
      </c>
      <c r="AM60" s="678"/>
      <c r="AN60" s="155" t="str">
        <f t="shared" si="15"/>
        <v/>
      </c>
      <c r="AO60" s="156">
        <f t="shared" si="16"/>
        <v>0</v>
      </c>
      <c r="AP60" s="155">
        <v>0</v>
      </c>
      <c r="AQ60" s="156" t="e">
        <f>IF(AL60&gt;=Bmg2Jahr3,AGHBTR_Jahr3,IF('HR-DM (U3,U4,U5AUF)'!AL60&gt;=Bmg1Jahr3,(RvBeitrJahr3*AL60)+(AvBeitrJahr3*AL60)+(U2UmlJahr3*AL60)+HBetrKVJahr3+HBetrPVJahr3,AGBTR_Jahr3*AL60))</f>
        <v>#N/A</v>
      </c>
      <c r="AR60" s="156" t="e">
        <f t="shared" si="17"/>
        <v>#N/A</v>
      </c>
      <c r="AS60" s="156">
        <f t="shared" si="18"/>
        <v>0</v>
      </c>
      <c r="AT60" s="156" t="e">
        <f t="shared" si="23"/>
        <v>#N/A</v>
      </c>
    </row>
    <row r="61" spans="2:46" x14ac:dyDescent="0.35">
      <c r="B61" s="151" t="s">
        <v>16</v>
      </c>
      <c r="C61" s="152">
        <f>EOMONTH(CONCATENATE("01.","01.",$B$56),4)</f>
        <v>152</v>
      </c>
      <c r="D61" s="153" t="e">
        <f t="shared" si="0"/>
        <v>#VALUE!</v>
      </c>
      <c r="E61" s="153" t="e">
        <f t="shared" si="1"/>
        <v>#VALUE!</v>
      </c>
      <c r="F61" s="153">
        <f t="shared" si="19"/>
        <v>0</v>
      </c>
      <c r="G61" s="154" t="e">
        <f>IF(AND($B$56=2028,$X$5=TRUE),((D61*$J$24/30)+(E61*$L$24/30)+(F61*$N$24/30))*100/102,
(D61*$J$24/30)+(E61*$L$24/30)+(F61*$N$24/30))</f>
        <v>#VALUE!</v>
      </c>
      <c r="H61" s="155" t="e">
        <f t="shared" si="2"/>
        <v>#VALUE!</v>
      </c>
      <c r="I61" s="156" t="e">
        <f t="shared" si="24"/>
        <v>#VALUE!</v>
      </c>
      <c r="J61" s="155">
        <v>0</v>
      </c>
      <c r="K61" s="156" t="e">
        <f>IF(G61&gt;=Bmg2Jahr1,AGHBTR_Jahr1,IF('HR-DM (U3,U4,U5AUF)'!G61&gt;=Bmg1Jahr1,(RvBeitrJahr1*G61)+(AvBeitrJahr1*G61)+(U2UmlJahr1*G61)+HBetrKVJahr1+HBetrPVJahr1,AGBTR_Jahr1*G61))</f>
        <v>#VALUE!</v>
      </c>
      <c r="L61" s="156" t="e">
        <f t="shared" si="3"/>
        <v>#N/A</v>
      </c>
      <c r="M61" s="156" t="e">
        <f t="shared" si="4"/>
        <v>#VALUE!</v>
      </c>
      <c r="N61" s="156" t="e">
        <f t="shared" si="20"/>
        <v>#VALUE!</v>
      </c>
      <c r="O61" s="157"/>
      <c r="P61" s="667" t="s">
        <v>16</v>
      </c>
      <c r="Q61" s="668"/>
      <c r="R61" s="152">
        <f>EOMONTH(CONCATENATE("01.","01.",$P$56),4)</f>
        <v>517</v>
      </c>
      <c r="S61" s="153">
        <f t="shared" si="21"/>
        <v>0</v>
      </c>
      <c r="T61" s="153">
        <f t="shared" si="22"/>
        <v>0</v>
      </c>
      <c r="U61" s="153">
        <f t="shared" si="5"/>
        <v>0</v>
      </c>
      <c r="V61" s="677">
        <f>IF(AND($P$56=2028,$X$5=TRUE),((S61*$P$24/30)+(T61*$V$24/30)+(U61*$Z$24/30))*100/102,
(S61*$P$24/30)+(T61*$V$24/30)+(U61*$Z$24/30))</f>
        <v>0</v>
      </c>
      <c r="W61" s="678"/>
      <c r="X61" s="155" t="str">
        <f t="shared" si="6"/>
        <v/>
      </c>
      <c r="Y61" s="156">
        <f t="shared" si="7"/>
        <v>0</v>
      </c>
      <c r="Z61" s="155">
        <v>0</v>
      </c>
      <c r="AA61" s="156" t="e">
        <f>IF(V61&gt;=Bmg2Jahr1,AGHBTR_Jahr1,IF('HR-DM (U3,U4,U5AUF)'!V61&gt;=Bmg1Jahr1,(RvBeitrJahr1*V61)+(AvBeitrJahr1*V61)+(U2UmlJahr1*V61)+HBetrKVJahr1+HBetrPVJahr1,AGBTR_Jahr1*V61))</f>
        <v>#N/A</v>
      </c>
      <c r="AB61" s="156" t="e">
        <f t="shared" si="8"/>
        <v>#N/A</v>
      </c>
      <c r="AC61" s="156">
        <f t="shared" si="9"/>
        <v>0</v>
      </c>
      <c r="AD61" s="156" t="e">
        <f t="shared" si="10"/>
        <v>#N/A</v>
      </c>
      <c r="AE61" s="158"/>
      <c r="AF61" s="667" t="s">
        <v>16</v>
      </c>
      <c r="AG61" s="668"/>
      <c r="AH61" s="152">
        <f>EOMONTH(CONCATENATE("01.","01.",$AF$56),4)</f>
        <v>882</v>
      </c>
      <c r="AI61" s="153">
        <f t="shared" si="11"/>
        <v>0</v>
      </c>
      <c r="AJ61" s="153">
        <f t="shared" si="12"/>
        <v>0</v>
      </c>
      <c r="AK61" s="153">
        <f t="shared" si="13"/>
        <v>0</v>
      </c>
      <c r="AL61" s="677">
        <f t="shared" si="14"/>
        <v>0</v>
      </c>
      <c r="AM61" s="678"/>
      <c r="AN61" s="155" t="str">
        <f t="shared" si="15"/>
        <v/>
      </c>
      <c r="AO61" s="156">
        <f t="shared" si="16"/>
        <v>0</v>
      </c>
      <c r="AP61" s="155">
        <v>0</v>
      </c>
      <c r="AQ61" s="156" t="e">
        <f>IF(AL61&gt;=Bmg2Jahr3,AGHBTR_Jahr3,IF('HR-DM (U3,U4,U5AUF)'!AL61&gt;=Bmg1Jahr3,(RvBeitrJahr3*AL61)+(AvBeitrJahr3*AL61)+(U2UmlJahr3*AL61)+HBetrKVJahr3+HBetrPVJahr3,AGBTR_Jahr3*AL61))</f>
        <v>#N/A</v>
      </c>
      <c r="AR61" s="156" t="e">
        <f t="shared" si="17"/>
        <v>#N/A</v>
      </c>
      <c r="AS61" s="156">
        <f t="shared" si="18"/>
        <v>0</v>
      </c>
      <c r="AT61" s="156" t="e">
        <f t="shared" si="23"/>
        <v>#N/A</v>
      </c>
    </row>
    <row r="62" spans="2:46" x14ac:dyDescent="0.35">
      <c r="B62" s="151" t="s">
        <v>17</v>
      </c>
      <c r="C62" s="152">
        <f>EOMONTH(CONCATENATE("01.","01.",$B$56),5)</f>
        <v>182</v>
      </c>
      <c r="D62" s="153" t="e">
        <f t="shared" si="0"/>
        <v>#VALUE!</v>
      </c>
      <c r="E62" s="153" t="e">
        <f t="shared" si="1"/>
        <v>#VALUE!</v>
      </c>
      <c r="F62" s="153">
        <f t="shared" si="19"/>
        <v>0</v>
      </c>
      <c r="G62" s="154" t="e">
        <f>IF(AND($B$56=2028,$X$5=TRUE),((D62*$J$24/30)+(E62*$L$24/30)+(F62*$N$24/30))*100/102,
(D62*$J$24/30)+(E62*$L$24/30)+(F62*$N$24/30))</f>
        <v>#VALUE!</v>
      </c>
      <c r="H62" s="155" t="e">
        <f t="shared" si="2"/>
        <v>#VALUE!</v>
      </c>
      <c r="I62" s="156" t="e">
        <f t="shared" si="24"/>
        <v>#VALUE!</v>
      </c>
      <c r="J62" s="155">
        <v>0</v>
      </c>
      <c r="K62" s="156" t="e">
        <f>IF(G62&gt;=Bmg2Jahr1,AGHBTR_Jahr1,IF('HR-DM (U3,U4,U5AUF)'!G62&gt;=Bmg1Jahr1,(RvBeitrJahr1*G62)+(AvBeitrJahr1*G62)+(U2UmlJahr1*G62)+HBetrKVJahr1+HBetrPVJahr1,AGBTR_Jahr1*G62))</f>
        <v>#VALUE!</v>
      </c>
      <c r="L62" s="156" t="e">
        <f t="shared" si="3"/>
        <v>#N/A</v>
      </c>
      <c r="M62" s="156" t="e">
        <f t="shared" si="4"/>
        <v>#VALUE!</v>
      </c>
      <c r="N62" s="156" t="e">
        <f t="shared" si="20"/>
        <v>#VALUE!</v>
      </c>
      <c r="O62" s="157"/>
      <c r="P62" s="667" t="s">
        <v>17</v>
      </c>
      <c r="Q62" s="668"/>
      <c r="R62" s="152">
        <f>EOMONTH(CONCATENATE("01.","01.",$P$56),5)</f>
        <v>547</v>
      </c>
      <c r="S62" s="153">
        <f t="shared" si="21"/>
        <v>0</v>
      </c>
      <c r="T62" s="153">
        <f t="shared" si="22"/>
        <v>0</v>
      </c>
      <c r="U62" s="153">
        <f t="shared" si="5"/>
        <v>0</v>
      </c>
      <c r="V62" s="677">
        <f>IF(AND($P$56=2028,$X$5=TRUE),((S62*$P$24/30)+(T62*$V$24/30)+(U62*$Z$24/30))*100/102,
(S62*$P$24/30)+(T62*$V$24/30)+(U62*$Z$24/30))</f>
        <v>0</v>
      </c>
      <c r="W62" s="678"/>
      <c r="X62" s="155" t="str">
        <f t="shared" si="6"/>
        <v/>
      </c>
      <c r="Y62" s="156">
        <f t="shared" si="7"/>
        <v>0</v>
      </c>
      <c r="Z62" s="155">
        <v>0</v>
      </c>
      <c r="AA62" s="156" t="e">
        <f>IF(V62&gt;=Bmg2Jahr1,AGHBTR_Jahr1,IF('HR-DM (U3,U4,U5AUF)'!V62&gt;=Bmg1Jahr1,(RvBeitrJahr1*V62)+(AvBeitrJahr1*V62)+(U2UmlJahr1*V62)+HBetrKVJahr1+HBetrPVJahr1,AGBTR_Jahr1*V62))</f>
        <v>#N/A</v>
      </c>
      <c r="AB62" s="156" t="e">
        <f t="shared" si="8"/>
        <v>#N/A</v>
      </c>
      <c r="AC62" s="156">
        <f t="shared" si="9"/>
        <v>0</v>
      </c>
      <c r="AD62" s="156" t="e">
        <f t="shared" si="10"/>
        <v>#N/A</v>
      </c>
      <c r="AE62" s="158"/>
      <c r="AF62" s="667" t="s">
        <v>17</v>
      </c>
      <c r="AG62" s="668"/>
      <c r="AH62" s="152">
        <f>EOMONTH(CONCATENATE("01.","01.",$AF$56),5)</f>
        <v>912</v>
      </c>
      <c r="AI62" s="153">
        <f t="shared" si="11"/>
        <v>0</v>
      </c>
      <c r="AJ62" s="153">
        <f t="shared" si="12"/>
        <v>0</v>
      </c>
      <c r="AK62" s="153">
        <f t="shared" si="13"/>
        <v>0</v>
      </c>
      <c r="AL62" s="677">
        <f t="shared" si="14"/>
        <v>0</v>
      </c>
      <c r="AM62" s="678"/>
      <c r="AN62" s="155" t="str">
        <f t="shared" si="15"/>
        <v/>
      </c>
      <c r="AO62" s="156">
        <f t="shared" si="16"/>
        <v>0</v>
      </c>
      <c r="AP62" s="155">
        <v>0</v>
      </c>
      <c r="AQ62" s="156" t="e">
        <f>IF(AL62&gt;=Bmg2Jahr3,AGHBTR_Jahr3,IF('HR-DM (U3,U4,U5AUF)'!AL62&gt;=Bmg1Jahr3,(RvBeitrJahr3*AL62)+(AvBeitrJahr3*AL62)+(U2UmlJahr3*AL62)+HBetrKVJahr3+HBetrPVJahr3,AGBTR_Jahr3*AL62))</f>
        <v>#N/A</v>
      </c>
      <c r="AR62" s="156" t="e">
        <f t="shared" si="17"/>
        <v>#N/A</v>
      </c>
      <c r="AS62" s="156">
        <f t="shared" si="18"/>
        <v>0</v>
      </c>
      <c r="AT62" s="156" t="e">
        <f t="shared" si="23"/>
        <v>#N/A</v>
      </c>
    </row>
    <row r="63" spans="2:46" x14ac:dyDescent="0.35">
      <c r="B63" s="151" t="s">
        <v>18</v>
      </c>
      <c r="C63" s="152">
        <f>EOMONTH(CONCATENATE("01.","01.",$B$56),6)</f>
        <v>213</v>
      </c>
      <c r="D63" s="153" t="e">
        <f t="shared" si="0"/>
        <v>#VALUE!</v>
      </c>
      <c r="E63" s="153" t="e">
        <f t="shared" si="1"/>
        <v>#VALUE!</v>
      </c>
      <c r="F63" s="153">
        <f t="shared" si="19"/>
        <v>0</v>
      </c>
      <c r="G63" s="154" t="e">
        <f t="shared" ref="G63:G68" si="25">(D63*$J$24/30)+(E63*$L$24/30)+(F63*$N$24/30)</f>
        <v>#VALUE!</v>
      </c>
      <c r="H63" s="155" t="e">
        <f t="shared" si="2"/>
        <v>#VALUE!</v>
      </c>
      <c r="I63" s="156" t="e">
        <f t="shared" si="24"/>
        <v>#VALUE!</v>
      </c>
      <c r="J63" s="155">
        <v>0</v>
      </c>
      <c r="K63" s="156" t="e">
        <f>IF(G63&gt;=Bmg2Jahr1,AGHBTR_Jahr1,IF('HR-DM (U3,U4,U5AUF)'!G63&gt;=Bmg1Jahr1,(RvBeitrJahr1*G63)+(AvBeitrJahr1*G63)+(U2UmlJahr1*G63)+HBetrKVJahr1+HBetrPVJahr1,AGBTR_Jahr1*G63))</f>
        <v>#VALUE!</v>
      </c>
      <c r="L63" s="156" t="e">
        <f t="shared" si="3"/>
        <v>#N/A</v>
      </c>
      <c r="M63" s="156" t="e">
        <f t="shared" si="4"/>
        <v>#VALUE!</v>
      </c>
      <c r="N63" s="156" t="e">
        <f t="shared" si="20"/>
        <v>#VALUE!</v>
      </c>
      <c r="O63" s="157"/>
      <c r="P63" s="667" t="s">
        <v>18</v>
      </c>
      <c r="Q63" s="668"/>
      <c r="R63" s="152">
        <f>EOMONTH(CONCATENATE("01.","01.",$P$56),6)</f>
        <v>578</v>
      </c>
      <c r="S63" s="153">
        <f t="shared" si="21"/>
        <v>0</v>
      </c>
      <c r="T63" s="153">
        <f t="shared" si="22"/>
        <v>0</v>
      </c>
      <c r="U63" s="153">
        <f t="shared" si="5"/>
        <v>0</v>
      </c>
      <c r="V63" s="677">
        <f t="shared" ref="V63:V68" si="26">(S63*$P$24/30)+(T63*$V$24/30)+(U63*$Z$24/30)</f>
        <v>0</v>
      </c>
      <c r="W63" s="678"/>
      <c r="X63" s="155" t="str">
        <f t="shared" si="6"/>
        <v/>
      </c>
      <c r="Y63" s="156">
        <f t="shared" si="7"/>
        <v>0</v>
      </c>
      <c r="Z63" s="155">
        <v>0</v>
      </c>
      <c r="AA63" s="156" t="e">
        <f>IF(V63&gt;=Bmg2Jahr1,AGHBTR_Jahr1,IF('HR-DM (U3,U4,U5AUF)'!V63&gt;=Bmg1Jahr1,(RvBeitrJahr1*V63)+(AvBeitrJahr1*V63)+(U2UmlJahr1*V63)+HBetrKVJahr1+HBetrPVJahr1,AGBTR_Jahr1*V63))</f>
        <v>#N/A</v>
      </c>
      <c r="AB63" s="156" t="e">
        <f t="shared" si="8"/>
        <v>#N/A</v>
      </c>
      <c r="AC63" s="156">
        <f t="shared" si="9"/>
        <v>0</v>
      </c>
      <c r="AD63" s="156" t="e">
        <f t="shared" si="10"/>
        <v>#N/A</v>
      </c>
      <c r="AE63" s="158"/>
      <c r="AF63" s="667" t="s">
        <v>18</v>
      </c>
      <c r="AG63" s="668"/>
      <c r="AH63" s="152">
        <f>EOMONTH(CONCATENATE("01.","01.",$AF$56),6)</f>
        <v>943</v>
      </c>
      <c r="AI63" s="153">
        <f t="shared" si="11"/>
        <v>0</v>
      </c>
      <c r="AJ63" s="153">
        <f t="shared" si="12"/>
        <v>0</v>
      </c>
      <c r="AK63" s="153">
        <f t="shared" si="13"/>
        <v>0</v>
      </c>
      <c r="AL63" s="677">
        <f t="shared" ref="AL63:AL65" si="27">(AI63*$AB$24/30)+(AJ63*$AD$24/30)+(AK63*$AF$24/30)</f>
        <v>0</v>
      </c>
      <c r="AM63" s="678"/>
      <c r="AN63" s="155" t="str">
        <f t="shared" si="15"/>
        <v/>
      </c>
      <c r="AO63" s="156">
        <f t="shared" si="16"/>
        <v>0</v>
      </c>
      <c r="AP63" s="155">
        <v>0</v>
      </c>
      <c r="AQ63" s="156" t="e">
        <f>IF(AL63&gt;=Bmg2Jahr3,AGHBTR_Jahr3,IF('HR-DM (U3,U4,U5AUF)'!AL63&gt;=Bmg1Jahr3,(RvBeitrJahr3*AL63)+(AvBeitrJahr3*AL63)+(U2UmlJahr3*AL63)+HBetrKVJahr3+HBetrPVJahr3,AGBTR_Jahr3*AL63))</f>
        <v>#N/A</v>
      </c>
      <c r="AR63" s="156" t="e">
        <f t="shared" si="17"/>
        <v>#N/A</v>
      </c>
      <c r="AS63" s="156">
        <f t="shared" si="18"/>
        <v>0</v>
      </c>
      <c r="AT63" s="156" t="e">
        <f t="shared" si="23"/>
        <v>#N/A</v>
      </c>
    </row>
    <row r="64" spans="2:46" x14ac:dyDescent="0.35">
      <c r="B64" s="151" t="s">
        <v>19</v>
      </c>
      <c r="C64" s="152">
        <f>EOMONTH(CONCATENATE("01.","01.",$B$56),7)</f>
        <v>244</v>
      </c>
      <c r="D64" s="153" t="e">
        <f t="shared" si="0"/>
        <v>#VALUE!</v>
      </c>
      <c r="E64" s="153" t="e">
        <f t="shared" si="1"/>
        <v>#VALUE!</v>
      </c>
      <c r="F64" s="153">
        <f t="shared" si="19"/>
        <v>0</v>
      </c>
      <c r="G64" s="154" t="e">
        <f t="shared" si="25"/>
        <v>#VALUE!</v>
      </c>
      <c r="H64" s="155" t="e">
        <f t="shared" si="2"/>
        <v>#VALUE!</v>
      </c>
      <c r="I64" s="156" t="e">
        <f t="shared" si="24"/>
        <v>#VALUE!</v>
      </c>
      <c r="J64" s="155">
        <v>0</v>
      </c>
      <c r="K64" s="156" t="e">
        <f>IF(G64&gt;=Bmg2Jahr1,AGHBTR_Jahr1,IF('HR-DM (U3,U4,U5AUF)'!G64&gt;=Bmg1Jahr1,(RvBeitrJahr1*G64)+(AvBeitrJahr1*G64)+(U2UmlJahr1*G64)+HBetrKVJahr1+HBetrPVJahr1,AGBTR_Jahr1*G64))</f>
        <v>#VALUE!</v>
      </c>
      <c r="L64" s="156" t="e">
        <f t="shared" si="3"/>
        <v>#N/A</v>
      </c>
      <c r="M64" s="156" t="e">
        <f t="shared" si="4"/>
        <v>#VALUE!</v>
      </c>
      <c r="N64" s="156" t="e">
        <f t="shared" si="20"/>
        <v>#VALUE!</v>
      </c>
      <c r="O64" s="157"/>
      <c r="P64" s="667" t="s">
        <v>19</v>
      </c>
      <c r="Q64" s="668"/>
      <c r="R64" s="152">
        <f>EOMONTH(CONCATENATE("01.","01.",$P$56),7)</f>
        <v>609</v>
      </c>
      <c r="S64" s="153">
        <f t="shared" si="21"/>
        <v>0</v>
      </c>
      <c r="T64" s="153">
        <f t="shared" si="22"/>
        <v>0</v>
      </c>
      <c r="U64" s="153">
        <f t="shared" si="5"/>
        <v>0</v>
      </c>
      <c r="V64" s="677">
        <f t="shared" si="26"/>
        <v>0</v>
      </c>
      <c r="W64" s="678"/>
      <c r="X64" s="155" t="str">
        <f t="shared" si="6"/>
        <v/>
      </c>
      <c r="Y64" s="156">
        <f t="shared" si="7"/>
        <v>0</v>
      </c>
      <c r="Z64" s="155">
        <v>0</v>
      </c>
      <c r="AA64" s="156" t="e">
        <f>IF(V64&gt;=Bmg2Jahr1,AGHBTR_Jahr1,IF('HR-DM (U3,U4,U5AUF)'!V64&gt;=Bmg1Jahr1,(RvBeitrJahr1*V64)+(AvBeitrJahr1*V64)+(U2UmlJahr1*V64)+HBetrKVJahr1+HBetrPVJahr1,AGBTR_Jahr1*V64))</f>
        <v>#N/A</v>
      </c>
      <c r="AB64" s="156" t="e">
        <f t="shared" si="8"/>
        <v>#N/A</v>
      </c>
      <c r="AC64" s="156">
        <f t="shared" si="9"/>
        <v>0</v>
      </c>
      <c r="AD64" s="156" t="e">
        <f t="shared" si="10"/>
        <v>#N/A</v>
      </c>
      <c r="AE64" s="158"/>
      <c r="AF64" s="667" t="s">
        <v>19</v>
      </c>
      <c r="AG64" s="668"/>
      <c r="AH64" s="152">
        <f>EOMONTH(CONCATENATE("01.","01.",$AF$56),7)</f>
        <v>974</v>
      </c>
      <c r="AI64" s="153">
        <f t="shared" si="11"/>
        <v>0</v>
      </c>
      <c r="AJ64" s="153">
        <f t="shared" si="12"/>
        <v>0</v>
      </c>
      <c r="AK64" s="153">
        <f t="shared" si="13"/>
        <v>0</v>
      </c>
      <c r="AL64" s="677">
        <f t="shared" si="27"/>
        <v>0</v>
      </c>
      <c r="AM64" s="678"/>
      <c r="AN64" s="155" t="str">
        <f t="shared" si="15"/>
        <v/>
      </c>
      <c r="AO64" s="156">
        <f t="shared" si="16"/>
        <v>0</v>
      </c>
      <c r="AP64" s="155">
        <v>0</v>
      </c>
      <c r="AQ64" s="156" t="e">
        <f>IF(AL64&gt;=Bmg2Jahr3,AGHBTR_Jahr3,IF('HR-DM (U3,U4,U5AUF)'!AL64&gt;=Bmg1Jahr3,(RvBeitrJahr3*AL64)+(AvBeitrJahr3*AL64)+(U2UmlJahr3*AL64)+HBetrKVJahr3+HBetrPVJahr3,AGBTR_Jahr3*AL64))</f>
        <v>#N/A</v>
      </c>
      <c r="AR64" s="156" t="e">
        <f t="shared" si="17"/>
        <v>#N/A</v>
      </c>
      <c r="AS64" s="156">
        <f t="shared" si="18"/>
        <v>0</v>
      </c>
      <c r="AT64" s="156" t="e">
        <f t="shared" si="23"/>
        <v>#N/A</v>
      </c>
    </row>
    <row r="65" spans="2:46" x14ac:dyDescent="0.35">
      <c r="B65" s="151" t="s">
        <v>20</v>
      </c>
      <c r="C65" s="152">
        <f>EOMONTH(CONCATENATE("01.","01.",$B$56),8)</f>
        <v>274</v>
      </c>
      <c r="D65" s="153" t="e">
        <f t="shared" si="0"/>
        <v>#VALUE!</v>
      </c>
      <c r="E65" s="153" t="e">
        <f t="shared" si="1"/>
        <v>#VALUE!</v>
      </c>
      <c r="F65" s="153">
        <f t="shared" si="19"/>
        <v>0</v>
      </c>
      <c r="G65" s="154" t="e">
        <f t="shared" si="25"/>
        <v>#VALUE!</v>
      </c>
      <c r="H65" s="155" t="e">
        <f t="shared" si="2"/>
        <v>#VALUE!</v>
      </c>
      <c r="I65" s="156" t="e">
        <f t="shared" si="24"/>
        <v>#VALUE!</v>
      </c>
      <c r="J65" s="155">
        <v>0</v>
      </c>
      <c r="K65" s="156" t="e">
        <f>IF(G65&gt;=Bmg2Jahr1,AGHBTR_Jahr1,IF('HR-DM (U3,U4,U5AUF)'!G65&gt;=Bmg1Jahr1,(RvBeitrJahr1*G65)+(AvBeitrJahr1*G65)+(U2UmlJahr1*G65)+HBetrKVJahr1+HBetrPVJahr1,AGBTR_Jahr1*G65))</f>
        <v>#VALUE!</v>
      </c>
      <c r="L65" s="156" t="e">
        <f t="shared" si="3"/>
        <v>#N/A</v>
      </c>
      <c r="M65" s="156" t="e">
        <f t="shared" si="4"/>
        <v>#VALUE!</v>
      </c>
      <c r="N65" s="156" t="e">
        <f t="shared" si="20"/>
        <v>#VALUE!</v>
      </c>
      <c r="O65" s="157"/>
      <c r="P65" s="667" t="s">
        <v>20</v>
      </c>
      <c r="Q65" s="668"/>
      <c r="R65" s="152">
        <f>EOMONTH(CONCATENATE("01.","01.",$P$56),8)</f>
        <v>639</v>
      </c>
      <c r="S65" s="153">
        <f t="shared" si="21"/>
        <v>0</v>
      </c>
      <c r="T65" s="153">
        <f t="shared" si="22"/>
        <v>0</v>
      </c>
      <c r="U65" s="153">
        <f t="shared" si="5"/>
        <v>0</v>
      </c>
      <c r="V65" s="677">
        <f t="shared" si="26"/>
        <v>0</v>
      </c>
      <c r="W65" s="678"/>
      <c r="X65" s="155" t="str">
        <f t="shared" si="6"/>
        <v/>
      </c>
      <c r="Y65" s="156">
        <f t="shared" si="7"/>
        <v>0</v>
      </c>
      <c r="Z65" s="155">
        <v>0</v>
      </c>
      <c r="AA65" s="156" t="e">
        <f>IF(V65&gt;=Bmg2Jahr1,AGHBTR_Jahr1,IF('HR-DM (U3,U4,U5AUF)'!V65&gt;=Bmg1Jahr1,(RvBeitrJahr1*V65)+(AvBeitrJahr1*V65)+(U2UmlJahr1*V65)+HBetrKVJahr1+HBetrPVJahr1,AGBTR_Jahr1*V65))</f>
        <v>#N/A</v>
      </c>
      <c r="AB65" s="156" t="e">
        <f t="shared" si="8"/>
        <v>#N/A</v>
      </c>
      <c r="AC65" s="156">
        <f t="shared" si="9"/>
        <v>0</v>
      </c>
      <c r="AD65" s="156" t="e">
        <f t="shared" si="10"/>
        <v>#N/A</v>
      </c>
      <c r="AE65" s="158"/>
      <c r="AF65" s="667" t="s">
        <v>20</v>
      </c>
      <c r="AG65" s="668"/>
      <c r="AH65" s="152">
        <f>EOMONTH(CONCATENATE("01.","01.",$AF$56),8)</f>
        <v>1004</v>
      </c>
      <c r="AI65" s="153">
        <f t="shared" si="11"/>
        <v>0</v>
      </c>
      <c r="AJ65" s="153">
        <f t="shared" si="12"/>
        <v>0</v>
      </c>
      <c r="AK65" s="153">
        <f t="shared" si="13"/>
        <v>0</v>
      </c>
      <c r="AL65" s="677">
        <f t="shared" si="27"/>
        <v>0</v>
      </c>
      <c r="AM65" s="678"/>
      <c r="AN65" s="155" t="str">
        <f t="shared" si="15"/>
        <v/>
      </c>
      <c r="AO65" s="156">
        <f t="shared" si="16"/>
        <v>0</v>
      </c>
      <c r="AP65" s="155">
        <v>0</v>
      </c>
      <c r="AQ65" s="156" t="e">
        <f>IF(AL65&gt;=Bmg2Jahr3,AGHBTR_Jahr3,IF('HR-DM (U3,U4,U5AUF)'!AL65&gt;=Bmg1Jahr3,(RvBeitrJahr3*AL65)+(AvBeitrJahr3*AL65)+(U2UmlJahr3*AL65)+HBetrKVJahr3+HBetrPVJahr3,AGBTR_Jahr3*AL65))</f>
        <v>#N/A</v>
      </c>
      <c r="AR65" s="156" t="e">
        <f t="shared" si="17"/>
        <v>#N/A</v>
      </c>
      <c r="AS65" s="156">
        <f t="shared" si="18"/>
        <v>0</v>
      </c>
      <c r="AT65" s="156" t="e">
        <f t="shared" si="23"/>
        <v>#N/A</v>
      </c>
    </row>
    <row r="66" spans="2:46" x14ac:dyDescent="0.35">
      <c r="B66" s="151" t="s">
        <v>21</v>
      </c>
      <c r="C66" s="152">
        <f>EOMONTH(CONCATENATE("01.","01.",$B$56),9)</f>
        <v>305</v>
      </c>
      <c r="D66" s="153" t="e">
        <f t="shared" si="0"/>
        <v>#VALUE!</v>
      </c>
      <c r="E66" s="153" t="e">
        <f t="shared" si="1"/>
        <v>#VALUE!</v>
      </c>
      <c r="F66" s="153">
        <f t="shared" si="19"/>
        <v>0</v>
      </c>
      <c r="G66" s="154" t="e">
        <f t="shared" si="25"/>
        <v>#VALUE!</v>
      </c>
      <c r="H66" s="155" t="e">
        <f t="shared" si="2"/>
        <v>#VALUE!</v>
      </c>
      <c r="I66" s="156" t="e">
        <f t="shared" si="24"/>
        <v>#VALUE!</v>
      </c>
      <c r="J66" s="155">
        <v>0</v>
      </c>
      <c r="K66" s="156" t="e">
        <f>IF(G66&gt;=Bmg2Jahr1,AGHBTR_Jahr1,IF('HR-DM (U3,U4,U5AUF)'!G66&gt;=Bmg1Jahr1,(RvBeitrJahr1*G66)+(AvBeitrJahr1*G66)+(U2UmlJahr1*G66)+HBetrKVJahr1+HBetrPVJahr1,AGBTR_Jahr1*G66))</f>
        <v>#VALUE!</v>
      </c>
      <c r="L66" s="156" t="e">
        <f t="shared" si="3"/>
        <v>#N/A</v>
      </c>
      <c r="M66" s="156" t="e">
        <f t="shared" si="4"/>
        <v>#VALUE!</v>
      </c>
      <c r="N66" s="156" t="e">
        <f t="shared" si="20"/>
        <v>#VALUE!</v>
      </c>
      <c r="O66" s="157"/>
      <c r="P66" s="667" t="s">
        <v>21</v>
      </c>
      <c r="Q66" s="668"/>
      <c r="R66" s="152">
        <f>EOMONTH(CONCATENATE("01.","01.",$P$56),9)</f>
        <v>670</v>
      </c>
      <c r="S66" s="153">
        <f t="shared" si="21"/>
        <v>0</v>
      </c>
      <c r="T66" s="153">
        <f t="shared" si="22"/>
        <v>0</v>
      </c>
      <c r="U66" s="153">
        <f t="shared" si="5"/>
        <v>0</v>
      </c>
      <c r="V66" s="677">
        <f t="shared" si="26"/>
        <v>0</v>
      </c>
      <c r="W66" s="678"/>
      <c r="X66" s="155" t="str">
        <f t="shared" si="6"/>
        <v/>
      </c>
      <c r="Y66" s="156">
        <f t="shared" si="7"/>
        <v>0</v>
      </c>
      <c r="Z66" s="155">
        <v>0</v>
      </c>
      <c r="AA66" s="156" t="e">
        <f>IF(V66&gt;=Bmg2Jahr1,AGHBTR_Jahr1,IF('HR-DM (U3,U4,U5AUF)'!V66&gt;=Bmg1Jahr1,(RvBeitrJahr1*V66)+(AvBeitrJahr1*V66)+(U2UmlJahr1*V66)+HBetrKVJahr1+HBetrPVJahr1,AGBTR_Jahr1*V66))</f>
        <v>#N/A</v>
      </c>
      <c r="AB66" s="156" t="e">
        <f t="shared" si="8"/>
        <v>#N/A</v>
      </c>
      <c r="AC66" s="156">
        <f t="shared" si="9"/>
        <v>0</v>
      </c>
      <c r="AD66" s="156" t="e">
        <f t="shared" si="10"/>
        <v>#N/A</v>
      </c>
      <c r="AE66" s="158"/>
      <c r="AF66" s="667" t="s">
        <v>21</v>
      </c>
      <c r="AG66" s="668"/>
      <c r="AH66" s="152">
        <f>EOMONTH(CONCATENATE("01.","01.",$AF$56),9)</f>
        <v>1035</v>
      </c>
      <c r="AI66" s="153">
        <f t="shared" si="11"/>
        <v>0</v>
      </c>
      <c r="AJ66" s="153">
        <f t="shared" si="12"/>
        <v>0</v>
      </c>
      <c r="AK66" s="153">
        <f t="shared" si="13"/>
        <v>0</v>
      </c>
      <c r="AL66" s="677">
        <f t="shared" ref="AL66:AL68" si="28">(AI66*$AB$24/30)+(AJ66*$AD$24/30)+(AK66*$AF$24/30)</f>
        <v>0</v>
      </c>
      <c r="AM66" s="678"/>
      <c r="AN66" s="155" t="str">
        <f t="shared" si="15"/>
        <v/>
      </c>
      <c r="AO66" s="156">
        <f t="shared" si="16"/>
        <v>0</v>
      </c>
      <c r="AP66" s="155">
        <v>0</v>
      </c>
      <c r="AQ66" s="156" t="e">
        <f>IF(AL66&gt;=Bmg2Jahr3,AGHBTR_Jahr3,IF('HR-DM (U3,U4,U5AUF)'!AL66&gt;=Bmg1Jahr3,(RvBeitrJahr3*AL66)+(AvBeitrJahr3*AL66)+(U2UmlJahr3*AL66)+HBetrKVJahr3+HBetrPVJahr3,AGBTR_Jahr3*AL66))</f>
        <v>#N/A</v>
      </c>
      <c r="AR66" s="156" t="e">
        <f t="shared" si="17"/>
        <v>#N/A</v>
      </c>
      <c r="AS66" s="156">
        <f t="shared" si="18"/>
        <v>0</v>
      </c>
      <c r="AT66" s="156" t="e">
        <f t="shared" si="23"/>
        <v>#N/A</v>
      </c>
    </row>
    <row r="67" spans="2:46" x14ac:dyDescent="0.35">
      <c r="B67" s="151" t="s">
        <v>22</v>
      </c>
      <c r="C67" s="152">
        <f>EOMONTH(CONCATENATE("01.","01.",$B$56),10)</f>
        <v>335</v>
      </c>
      <c r="D67" s="153" t="e">
        <f t="shared" si="0"/>
        <v>#VALUE!</v>
      </c>
      <c r="E67" s="153" t="e">
        <f t="shared" si="1"/>
        <v>#VALUE!</v>
      </c>
      <c r="F67" s="153">
        <f t="shared" si="19"/>
        <v>0</v>
      </c>
      <c r="G67" s="154" t="e">
        <f t="shared" si="25"/>
        <v>#VALUE!</v>
      </c>
      <c r="H67" s="155" t="e">
        <f t="shared" si="2"/>
        <v>#VALUE!</v>
      </c>
      <c r="I67" s="156" t="e">
        <f t="shared" si="24"/>
        <v>#VALUE!</v>
      </c>
      <c r="J67" s="155">
        <f>IFERROR(IF(J29="ja",H70,IF($X$6=TRUE,H70,0)),0)</f>
        <v>0</v>
      </c>
      <c r="K67" s="156" t="e">
        <f>IF((G67)&gt;=Bmg2Jahr1,AGHBTR_Jahr1,IF((G67)&gt;=Bmg1Jahr1,(RvBeitrJahr1*(G67+J67))+(AvBeitrJahr1*(G67+J67))+(U2UmlJahr1*(G67+J67))+HBetrKVJahr1+HBetrPVJahr1,AGBTR_Jahr1*(G67+J67)))</f>
        <v>#VALUE!</v>
      </c>
      <c r="L67" s="156" t="e">
        <f t="shared" si="3"/>
        <v>#N/A</v>
      </c>
      <c r="M67" s="156" t="e">
        <f t="shared" si="4"/>
        <v>#VALUE!</v>
      </c>
      <c r="N67" s="156" t="e">
        <f t="shared" si="20"/>
        <v>#VALUE!</v>
      </c>
      <c r="O67" s="157"/>
      <c r="P67" s="667" t="s">
        <v>22</v>
      </c>
      <c r="Q67" s="668"/>
      <c r="R67" s="152">
        <f>EOMONTH(CONCATENATE("01.","01.",$P$56),10)</f>
        <v>700</v>
      </c>
      <c r="S67" s="153">
        <f t="shared" si="21"/>
        <v>0</v>
      </c>
      <c r="T67" s="153">
        <f t="shared" si="22"/>
        <v>0</v>
      </c>
      <c r="U67" s="153">
        <f t="shared" si="5"/>
        <v>0</v>
      </c>
      <c r="V67" s="677">
        <f t="shared" si="26"/>
        <v>0</v>
      </c>
      <c r="W67" s="678"/>
      <c r="X67" s="155" t="str">
        <f t="shared" si="6"/>
        <v/>
      </c>
      <c r="Y67" s="156">
        <f t="shared" si="7"/>
        <v>0</v>
      </c>
      <c r="Z67" s="155">
        <f>IFERROR(IF(P29="ja",X70,IF($X$6=TRUE,X70,0)),0)</f>
        <v>0</v>
      </c>
      <c r="AA67" s="156" t="e">
        <f>IF((V67)&gt;=Bmg2Jahr1,AGHBTR_Jahr1,IF((V67)&gt;=Bmg1Jahr1,(RvBeitrJahr1*(V67+Z67))+(AvBeitrJahr1*(V67+Z67))+(U2UmlJahr1*(V67+Z67))+HBetrKVJahr1+HBetrPVJahr1,AGBTR_Jahr1*(V67+Z67)))</f>
        <v>#N/A</v>
      </c>
      <c r="AB67" s="156" t="e">
        <f t="shared" si="8"/>
        <v>#N/A</v>
      </c>
      <c r="AC67" s="156">
        <f t="shared" si="9"/>
        <v>0</v>
      </c>
      <c r="AD67" s="156" t="e">
        <f t="shared" si="10"/>
        <v>#N/A</v>
      </c>
      <c r="AE67" s="158"/>
      <c r="AF67" s="667" t="s">
        <v>22</v>
      </c>
      <c r="AG67" s="668"/>
      <c r="AH67" s="152">
        <f>EOMONTH(CONCATENATE("01.","01.",$AF$56),10)</f>
        <v>1065</v>
      </c>
      <c r="AI67" s="153">
        <f t="shared" si="11"/>
        <v>0</v>
      </c>
      <c r="AJ67" s="153">
        <f t="shared" si="12"/>
        <v>0</v>
      </c>
      <c r="AK67" s="153">
        <f t="shared" si="13"/>
        <v>0</v>
      </c>
      <c r="AL67" s="677">
        <f t="shared" si="28"/>
        <v>0</v>
      </c>
      <c r="AM67" s="678"/>
      <c r="AN67" s="155" t="str">
        <f t="shared" si="15"/>
        <v/>
      </c>
      <c r="AO67" s="156">
        <f t="shared" si="16"/>
        <v>0</v>
      </c>
      <c r="AP67" s="155">
        <f>IFERROR(IF(AB29="ja",AN70,IF($X$6=TRUE,AN70,0)),0)</f>
        <v>0</v>
      </c>
      <c r="AQ67" s="156" t="e">
        <f>IF((AL67)&gt;=Bmg2Jahr3,AGHBTR_Jahr3,IF((AL67)&gt;=Bmg1Jahr3,(RvBeitrJahr3*(AL67+AP67))+(AvBeitrJahr3*(AL67+AP67))+(U2UmlJahr3*(AL67+AP67))+HBetrKVJahr3+HBetrPVJahr3,AGBTR_Jahr3*(AL67+AP67)))</f>
        <v>#N/A</v>
      </c>
      <c r="AR67" s="156" t="e">
        <f t="shared" si="17"/>
        <v>#N/A</v>
      </c>
      <c r="AS67" s="156">
        <f t="shared" si="18"/>
        <v>0</v>
      </c>
      <c r="AT67" s="156" t="e">
        <f t="shared" si="23"/>
        <v>#N/A</v>
      </c>
    </row>
    <row r="68" spans="2:46" x14ac:dyDescent="0.35">
      <c r="B68" s="151" t="s">
        <v>23</v>
      </c>
      <c r="C68" s="152">
        <f>EOMONTH(CONCATENATE("01.","01.",$B$56),11)</f>
        <v>366</v>
      </c>
      <c r="D68" s="153" t="e">
        <f t="shared" si="0"/>
        <v>#VALUE!</v>
      </c>
      <c r="E68" s="153" t="e">
        <f t="shared" si="1"/>
        <v>#VALUE!</v>
      </c>
      <c r="F68" s="153">
        <f t="shared" si="19"/>
        <v>0</v>
      </c>
      <c r="G68" s="154" t="e">
        <f t="shared" si="25"/>
        <v>#VALUE!</v>
      </c>
      <c r="H68" s="155" t="e">
        <f t="shared" si="2"/>
        <v>#VALUE!</v>
      </c>
      <c r="I68" s="156" t="e">
        <f t="shared" si="24"/>
        <v>#VALUE!</v>
      </c>
      <c r="J68" s="155">
        <v>0</v>
      </c>
      <c r="K68" s="156" t="e">
        <f>IF(G68&gt;=Bmg2Jahr1,AGHBTR_Jahr1,IF('HR-DM (U3,U4,U5AUF)'!G68&gt;=Bmg1Jahr1,(RvBeitrJahr1*G68)+(AvBeitrJahr1*G68)+(U2UmlJahr1*G68)+HBetrKVJahr1+HBetrPVJahr1,AGBTR_Jahr1*G68))</f>
        <v>#VALUE!</v>
      </c>
      <c r="L68" s="156" t="e">
        <f t="shared" si="3"/>
        <v>#N/A</v>
      </c>
      <c r="M68" s="156" t="e">
        <f t="shared" si="4"/>
        <v>#VALUE!</v>
      </c>
      <c r="N68" s="156" t="e">
        <f t="shared" si="20"/>
        <v>#VALUE!</v>
      </c>
      <c r="O68" s="157"/>
      <c r="P68" s="667" t="s">
        <v>23</v>
      </c>
      <c r="Q68" s="668"/>
      <c r="R68" s="152">
        <f>EOMONTH(CONCATENATE("01.","01.",$P$56),11)</f>
        <v>731</v>
      </c>
      <c r="S68" s="153">
        <f t="shared" si="21"/>
        <v>0</v>
      </c>
      <c r="T68" s="153">
        <f t="shared" si="22"/>
        <v>0</v>
      </c>
      <c r="U68" s="153">
        <f t="shared" si="5"/>
        <v>0</v>
      </c>
      <c r="V68" s="677">
        <f t="shared" si="26"/>
        <v>0</v>
      </c>
      <c r="W68" s="678"/>
      <c r="X68" s="155" t="str">
        <f t="shared" si="6"/>
        <v/>
      </c>
      <c r="Y68" s="156">
        <f t="shared" si="7"/>
        <v>0</v>
      </c>
      <c r="Z68" s="155">
        <v>0</v>
      </c>
      <c r="AA68" s="156" t="e">
        <f>IF(V68&gt;=Bmg2Jahr1,AGHBTR_Jahr1,IF('HR-DM (U3,U4,U5AUF)'!V68&gt;=Bmg1Jahr1,(RvBeitrJahr1*V68)+(AvBeitrJahr1*V68)+(U2UmlJahr1*V68)+HBetrKVJahr1+HBetrPVJahr1,AGBTR_Jahr1*V68))</f>
        <v>#N/A</v>
      </c>
      <c r="AB68" s="156" t="e">
        <f t="shared" si="8"/>
        <v>#N/A</v>
      </c>
      <c r="AC68" s="156">
        <f t="shared" si="9"/>
        <v>0</v>
      </c>
      <c r="AD68" s="156" t="e">
        <f t="shared" si="10"/>
        <v>#N/A</v>
      </c>
      <c r="AE68" s="158"/>
      <c r="AF68" s="667" t="s">
        <v>23</v>
      </c>
      <c r="AG68" s="668"/>
      <c r="AH68" s="152">
        <f>EOMONTH(CONCATENATE("01.","01.",$AF$56),11)</f>
        <v>1096</v>
      </c>
      <c r="AI68" s="153">
        <f t="shared" si="11"/>
        <v>0</v>
      </c>
      <c r="AJ68" s="153">
        <f t="shared" si="12"/>
        <v>0</v>
      </c>
      <c r="AK68" s="153">
        <f t="shared" si="13"/>
        <v>0</v>
      </c>
      <c r="AL68" s="677">
        <f t="shared" si="28"/>
        <v>0</v>
      </c>
      <c r="AM68" s="678"/>
      <c r="AN68" s="155" t="str">
        <f t="shared" si="15"/>
        <v/>
      </c>
      <c r="AO68" s="156">
        <f t="shared" si="16"/>
        <v>0</v>
      </c>
      <c r="AP68" s="155">
        <v>0</v>
      </c>
      <c r="AQ68" s="156" t="e">
        <f>IF(AL68&gt;=Bmg2Jahr3,AGHBTR_Jahr3,IF('HR-DM (U3,U4,U5AUF)'!AL68&gt;=Bmg1Jahr3,(RvBeitrJahr3*AL68)+(AvBeitrJahr3*AL68)+(U2UmlJahr3*AL68)+HBetrKVJahr3+HBetrPVJahr3,AGBTR_Jahr3*AL68))</f>
        <v>#N/A</v>
      </c>
      <c r="AR68" s="156" t="e">
        <f t="shared" si="17"/>
        <v>#N/A</v>
      </c>
      <c r="AS68" s="156">
        <f t="shared" si="18"/>
        <v>0</v>
      </c>
      <c r="AT68" s="156" t="e">
        <f t="shared" si="23"/>
        <v>#N/A</v>
      </c>
    </row>
    <row r="69" spans="2:46" ht="16.5" thickBot="1" x14ac:dyDescent="0.4">
      <c r="B69" s="159" t="s">
        <v>24</v>
      </c>
      <c r="C69" s="159"/>
      <c r="D69" s="159"/>
      <c r="E69" s="159"/>
      <c r="F69" s="159"/>
      <c r="G69" s="160" t="e">
        <f>SUM(G57:G68)</f>
        <v>#VALUE!</v>
      </c>
      <c r="H69" s="161"/>
      <c r="I69" s="161" t="e">
        <f t="shared" ref="I69:N69" si="29">SUM(I57:I68)</f>
        <v>#VALUE!</v>
      </c>
      <c r="J69" s="161">
        <f t="shared" si="29"/>
        <v>0</v>
      </c>
      <c r="K69" s="161" t="e">
        <f t="shared" si="29"/>
        <v>#VALUE!</v>
      </c>
      <c r="L69" s="161" t="e">
        <f t="shared" si="29"/>
        <v>#N/A</v>
      </c>
      <c r="M69" s="161" t="e">
        <f t="shared" si="29"/>
        <v>#VALUE!</v>
      </c>
      <c r="N69" s="161" t="e">
        <f t="shared" si="29"/>
        <v>#VALUE!</v>
      </c>
      <c r="O69" s="149"/>
      <c r="P69" s="679" t="s">
        <v>24</v>
      </c>
      <c r="Q69" s="680"/>
      <c r="R69" s="162"/>
      <c r="S69" s="162"/>
      <c r="T69" s="162"/>
      <c r="U69" s="162"/>
      <c r="V69" s="775">
        <f>SUM(V57:V68)</f>
        <v>0</v>
      </c>
      <c r="W69" s="776"/>
      <c r="X69" s="163"/>
      <c r="Y69" s="163">
        <f t="shared" ref="Y69:AD69" si="30">SUM(Y57:Y68)</f>
        <v>0</v>
      </c>
      <c r="Z69" s="163">
        <f t="shared" si="30"/>
        <v>0</v>
      </c>
      <c r="AA69" s="163" t="e">
        <f t="shared" si="30"/>
        <v>#N/A</v>
      </c>
      <c r="AB69" s="163" t="e">
        <f t="shared" si="30"/>
        <v>#N/A</v>
      </c>
      <c r="AC69" s="163">
        <f t="shared" si="30"/>
        <v>0</v>
      </c>
      <c r="AD69" s="163" t="e">
        <f t="shared" si="30"/>
        <v>#N/A</v>
      </c>
      <c r="AF69" s="692" t="s">
        <v>24</v>
      </c>
      <c r="AG69" s="693"/>
      <c r="AH69" s="164"/>
      <c r="AI69" s="164"/>
      <c r="AJ69" s="164"/>
      <c r="AK69" s="164"/>
      <c r="AL69" s="696">
        <f>SUM(AL57:AL68)</f>
        <v>0</v>
      </c>
      <c r="AM69" s="697"/>
      <c r="AN69" s="165"/>
      <c r="AO69" s="165">
        <f t="shared" ref="AO69:AT69" si="31">SUM(AO57:AO68)</f>
        <v>0</v>
      </c>
      <c r="AP69" s="165">
        <f t="shared" si="31"/>
        <v>0</v>
      </c>
      <c r="AQ69" s="165" t="e">
        <f t="shared" si="31"/>
        <v>#N/A</v>
      </c>
      <c r="AR69" s="165" t="e">
        <f t="shared" si="31"/>
        <v>#N/A</v>
      </c>
      <c r="AS69" s="165">
        <f t="shared" si="31"/>
        <v>0</v>
      </c>
      <c r="AT69" s="165" t="e">
        <f t="shared" si="31"/>
        <v>#N/A</v>
      </c>
    </row>
    <row r="70" spans="2:46" ht="16.5" thickBot="1" x14ac:dyDescent="0.4">
      <c r="B70" s="137"/>
      <c r="C70" s="137"/>
      <c r="D70" s="137"/>
      <c r="E70" s="137"/>
      <c r="F70" s="137"/>
      <c r="G70" s="166" t="s">
        <v>25</v>
      </c>
      <c r="H70" s="167" t="e">
        <f>IF(AND(J29="ja",$X$6=TRUE),(AVERAGE(H63:H68))/12*COUNTIFS(G57:G68,"&gt;0"),IF(AND($X$6=TRUE,J29="nein"),(AVERAGE(H57:H68)/12)*COUNTIFS(G57:G68,"&gt;0"),IF(AND(OR($X$6="",$X$6=FALSE),J29="ja"),(AVERAGE(H63:H68))/12*COUNTIFS(G57:G68,"&gt;0"),0)))</f>
        <v>#VALUE!</v>
      </c>
      <c r="I70" s="167"/>
      <c r="J70" s="168">
        <f>IF(J67=0,0,J67/COUNTIFS(G57:G68,"&gt;0"))</f>
        <v>0</v>
      </c>
      <c r="O70" s="149"/>
      <c r="V70" s="685" t="s">
        <v>25</v>
      </c>
      <c r="W70" s="686"/>
      <c r="X70" s="167" t="e">
        <f>IF(AND(P29="ja",$X$6=TRUE),(AVERAGE(X63:X68))/12*COUNTIFS(V57:W68,"&gt;0"),IF(AND($X$6=TRUE,P29="nein"),(AVERAGE(X57:X68)/12)*COUNTIFS(V57:W68,"&gt;0"),IF(AND(OR($X$6="",$X$6=FALSE),P29="ja"),(AVERAGE(X63:X68))/12*COUNTIFS(V57:W68,"&gt;0"),0)))</f>
        <v>#DIV/0!</v>
      </c>
      <c r="Y70" s="167"/>
      <c r="Z70" s="168">
        <f>IF(Z67=0,0,Z67/COUNTIFS(V57:W68,"&gt;0"))</f>
        <v>0</v>
      </c>
      <c r="AL70" s="685" t="s">
        <v>25</v>
      </c>
      <c r="AM70" s="686"/>
      <c r="AN70" s="167" t="e">
        <f>IF(AND(AB29="ja",$X$6=TRUE),(AVERAGE(AN63:AN68))/12*COUNTIFS(AL57:AM68,"&gt;0"),IF(AND($X$6=TRUE,AB29="nein"),(AVERAGE(AN57:AN68)/12)*COUNTIFS(AL57:AM68,"&gt;0"),IF(AND(OR($X$6="",$X$6=FALSE),AB29="ja"),(AVERAGE(AN63:AN68))/12*COUNTIFS(AL57:AM68,"&gt;0"),0)))</f>
        <v>#DIV/0!</v>
      </c>
      <c r="AO70" s="167"/>
      <c r="AP70" s="168">
        <f>IF(AP67=0,0,AP67/COUNTIFS(AL57:AM68,"&gt;0"))</f>
        <v>0</v>
      </c>
    </row>
    <row r="72" spans="2:46" ht="16.5" hidden="1" outlineLevel="1" thickBot="1" x14ac:dyDescent="0.4">
      <c r="B72" s="169" t="s">
        <v>107</v>
      </c>
      <c r="C72" s="169"/>
      <c r="D72" s="169"/>
      <c r="E72" s="169"/>
      <c r="F72" s="169"/>
      <c r="G72" s="170">
        <f>IFERROR((SUM(G57:G68)/COUNTIFS(G57:G68,"&gt;0")),0)</f>
        <v>0</v>
      </c>
      <c r="H72" s="171">
        <f>IFERROR((SUM(H58:H69)/COUNTIFS(H58:H69,"&gt;0")),0)</f>
        <v>0</v>
      </c>
      <c r="I72" s="171"/>
      <c r="J72" s="171">
        <f>IFERROR((SUM(J57:J68)/COUNTIFS(J57:J68,"&gt;0")),0)</f>
        <v>0</v>
      </c>
      <c r="K72" s="171">
        <f t="shared" ref="K72:N72" si="32">IFERROR((SUM(K57:K68)/COUNTIFS(K57:K68,"&gt;0")),0)</f>
        <v>0</v>
      </c>
      <c r="L72" s="171">
        <f t="shared" si="32"/>
        <v>0</v>
      </c>
      <c r="M72" s="171">
        <f t="shared" si="32"/>
        <v>0</v>
      </c>
      <c r="N72" s="171">
        <f t="shared" si="32"/>
        <v>0</v>
      </c>
      <c r="O72" s="149"/>
      <c r="P72" s="681" t="s">
        <v>103</v>
      </c>
      <c r="Q72" s="682"/>
      <c r="R72" s="172"/>
      <c r="S72" s="172"/>
      <c r="T72" s="172"/>
      <c r="U72" s="172"/>
      <c r="V72" s="683">
        <f>IFERROR((SUM(V57:W68)/COUNTIFS(V57:W68,"&gt;0")),0)</f>
        <v>0</v>
      </c>
      <c r="W72" s="684"/>
      <c r="X72" s="173" t="e">
        <f>IF($AD$8="ja",((AVERAGE(X58:X69))/12)*COUNTIFS(V58:W69,"&gt;0"),((AVERAGE(X64:X69))/12)*COUNTIFS(V58:W69,"&gt;0"))</f>
        <v>#DIV/0!</v>
      </c>
      <c r="Y72" s="173"/>
      <c r="Z72" s="171">
        <f>IFERROR((SUM(Z57:Z68)/COUNTIFS(Z57:Z68,"&gt;0")),0)</f>
        <v>0</v>
      </c>
      <c r="AA72" s="171">
        <f t="shared" ref="AA72:AD72" si="33">IFERROR((SUM(AA57:AA68)/COUNTIFS(AA57:AA68,"&gt;0")),0)</f>
        <v>0</v>
      </c>
      <c r="AB72" s="171">
        <f t="shared" si="33"/>
        <v>0</v>
      </c>
      <c r="AC72" s="171">
        <f t="shared" si="33"/>
        <v>0</v>
      </c>
      <c r="AD72" s="171">
        <f t="shared" si="33"/>
        <v>0</v>
      </c>
      <c r="AF72" s="681" t="s">
        <v>103</v>
      </c>
      <c r="AG72" s="682"/>
      <c r="AH72" s="172"/>
      <c r="AI72" s="172"/>
      <c r="AJ72" s="172"/>
      <c r="AK72" s="172"/>
      <c r="AL72" s="683">
        <f>IFERROR((SUM(AL57:AM68)/COUNTIFS(AL57:AM68,"&gt;0")),0)</f>
        <v>0</v>
      </c>
      <c r="AM72" s="684"/>
      <c r="AN72" s="173" t="e">
        <f>IF($AD$8="ja",((AVERAGE(AN58:AN69))/12)*COUNTIFS(AL58:AM69,"&gt;0"),((AVERAGE(AN64:AN69))/12)*COUNTIFS(AL58:AM69,"&gt;0"))</f>
        <v>#DIV/0!</v>
      </c>
      <c r="AO72" s="173"/>
      <c r="AP72" s="171">
        <f>IFERROR((SUM(AP57:AP68)/COUNTIFS(AP57:AP68,"&gt;0")),0)</f>
        <v>0</v>
      </c>
      <c r="AQ72" s="171">
        <f>IFERROR((SUM(AQ57:AQ68)/COUNTIFS(AQ57:AQ68,"&gt;0")),0)</f>
        <v>0</v>
      </c>
      <c r="AR72" s="171">
        <f>IFERROR((SUM(AR57:AR68)/COUNTIFS(AR57:AR68,"&gt;0")),0)</f>
        <v>0</v>
      </c>
      <c r="AS72" s="171">
        <f>IFERROR((SUM(AS57:AS68)/COUNTIFS(AS57:AS68,"&gt;0")),0)</f>
        <v>0</v>
      </c>
      <c r="AT72" s="171">
        <f>IFERROR((SUM(AT57:AT68)/COUNTIFS(AT57:AT68,"&gt;0")),0)</f>
        <v>0</v>
      </c>
    </row>
    <row r="73" spans="2:46" collapsed="1" x14ac:dyDescent="0.35">
      <c r="B73" s="137"/>
      <c r="C73" s="137"/>
      <c r="D73" s="137"/>
      <c r="E73" s="137"/>
      <c r="F73" s="137"/>
      <c r="G73" s="115"/>
      <c r="H73" s="174"/>
      <c r="I73" s="174"/>
      <c r="J73" s="175"/>
      <c r="O73" s="149"/>
      <c r="W73" s="115"/>
      <c r="X73" s="174"/>
      <c r="Y73" s="174"/>
      <c r="Z73" s="175"/>
      <c r="AL73" s="115"/>
      <c r="AM73" s="115"/>
      <c r="AN73" s="174"/>
      <c r="AO73" s="174"/>
      <c r="AP73" s="175"/>
    </row>
    <row r="74" spans="2:46" ht="16.5" thickBot="1" x14ac:dyDescent="0.4">
      <c r="O74" s="149"/>
    </row>
    <row r="75" spans="2:46" ht="16.5" thickBot="1" x14ac:dyDescent="0.4">
      <c r="B75" s="176" t="s">
        <v>59</v>
      </c>
      <c r="C75" s="177"/>
      <c r="D75" s="177"/>
      <c r="E75" s="177"/>
      <c r="F75" s="177"/>
      <c r="G75" s="178">
        <f>J37+L37+N37</f>
        <v>0</v>
      </c>
      <c r="H75" s="179"/>
      <c r="I75" s="174"/>
      <c r="J75" s="175"/>
      <c r="O75" s="149"/>
      <c r="P75" s="767" t="s">
        <v>59</v>
      </c>
      <c r="Q75" s="768"/>
      <c r="R75" s="180"/>
      <c r="S75" s="180"/>
      <c r="T75" s="180"/>
      <c r="U75" s="180"/>
      <c r="V75" s="769">
        <f>P37+V37+Z37</f>
        <v>0</v>
      </c>
      <c r="W75" s="770"/>
      <c r="X75" s="180"/>
      <c r="AC75" s="137"/>
      <c r="AD75" s="137"/>
      <c r="AF75" s="694" t="s">
        <v>59</v>
      </c>
      <c r="AG75" s="695"/>
      <c r="AH75" s="181"/>
      <c r="AI75" s="181"/>
      <c r="AJ75" s="181"/>
      <c r="AK75" s="181"/>
      <c r="AL75" s="700">
        <f>AB37+AD37+AF37</f>
        <v>0</v>
      </c>
      <c r="AM75" s="701"/>
    </row>
    <row r="76" spans="2:46" x14ac:dyDescent="0.35">
      <c r="B76" s="182">
        <f>AF56+1</f>
        <v>1903</v>
      </c>
      <c r="C76" s="179" t="s">
        <v>31</v>
      </c>
      <c r="D76" s="179" t="s">
        <v>32</v>
      </c>
      <c r="E76" s="179" t="s">
        <v>33</v>
      </c>
      <c r="F76" s="179" t="s">
        <v>34</v>
      </c>
      <c r="G76" s="179" t="s">
        <v>5</v>
      </c>
      <c r="H76" s="179" t="s">
        <v>6</v>
      </c>
      <c r="I76" s="179" t="s">
        <v>299</v>
      </c>
      <c r="J76" s="179" t="s">
        <v>7</v>
      </c>
      <c r="K76" s="179" t="s">
        <v>8</v>
      </c>
      <c r="L76" s="179" t="s">
        <v>9</v>
      </c>
      <c r="M76" s="179" t="s">
        <v>10</v>
      </c>
      <c r="N76" s="179" t="s">
        <v>11</v>
      </c>
      <c r="O76" s="157"/>
      <c r="P76" s="687">
        <f>B76+1</f>
        <v>1904</v>
      </c>
      <c r="Q76" s="688"/>
      <c r="R76" s="183" t="s">
        <v>31</v>
      </c>
      <c r="S76" s="183" t="s">
        <v>32</v>
      </c>
      <c r="T76" s="183" t="s">
        <v>33</v>
      </c>
      <c r="U76" s="183" t="s">
        <v>34</v>
      </c>
      <c r="V76" s="689" t="s">
        <v>5</v>
      </c>
      <c r="W76" s="688"/>
      <c r="X76" s="183" t="s">
        <v>6</v>
      </c>
      <c r="Y76" s="183" t="s">
        <v>299</v>
      </c>
      <c r="Z76" s="183" t="s">
        <v>7</v>
      </c>
      <c r="AA76" s="183" t="s">
        <v>8</v>
      </c>
      <c r="AB76" s="183" t="s">
        <v>9</v>
      </c>
      <c r="AC76" s="183" t="s">
        <v>10</v>
      </c>
      <c r="AD76" s="183" t="s">
        <v>11</v>
      </c>
      <c r="AE76" s="158"/>
      <c r="AF76" s="777">
        <f>P76+1</f>
        <v>1905</v>
      </c>
      <c r="AG76" s="778"/>
      <c r="AH76" s="184" t="s">
        <v>31</v>
      </c>
      <c r="AI76" s="184" t="s">
        <v>32</v>
      </c>
      <c r="AJ76" s="184" t="s">
        <v>33</v>
      </c>
      <c r="AK76" s="184" t="s">
        <v>34</v>
      </c>
      <c r="AL76" s="698" t="s">
        <v>5</v>
      </c>
      <c r="AM76" s="699"/>
      <c r="AN76" s="185" t="s">
        <v>6</v>
      </c>
      <c r="AO76" s="185" t="s">
        <v>299</v>
      </c>
      <c r="AP76" s="185" t="s">
        <v>7</v>
      </c>
      <c r="AQ76" s="185" t="s">
        <v>8</v>
      </c>
      <c r="AR76" s="185" t="s">
        <v>9</v>
      </c>
      <c r="AS76" s="185" t="s">
        <v>10</v>
      </c>
      <c r="AT76" s="185" t="s">
        <v>11</v>
      </c>
    </row>
    <row r="77" spans="2:46" x14ac:dyDescent="0.35">
      <c r="B77" s="151" t="s">
        <v>12</v>
      </c>
      <c r="C77" s="152">
        <f>EOMONTH(CONCATENATE("01.","01.",$B$76),0)</f>
        <v>1127</v>
      </c>
      <c r="D77" s="153">
        <f>IF($J$36="",0,IF(AND(DAY($J$36)&gt;1,MONTH(C77)=MONTH($J$36)),$K$37,IF(AND(C77&gt;=$J$36,C77&lt;=$K$36),30,IF((MONTH(C77)=MONTH($K$36)),DAY($K$36),0))))</f>
        <v>0</v>
      </c>
      <c r="E77" s="153">
        <f>IF($L$36="",0,IF(C77&lt;$L$36,0,IF(AND(MONTH($L$36)=MONTH($M$36),MONTH(C77)=MONTH($M$36)),$M$37,IF(AND(MONTH($L$36)&lt;&gt;MONTH($M$36),MONTH(C77)=MONTH($L$36)),$M$37,IF(AND(D77&gt;0,DAY($J$36)&gt;1,MONTH($J$36)=MONTH($K$36)),30-D77-DAY($J$36)+1,IF(AND(D77&gt;0,DAY($J$36)&gt;1),30-D77,(IF(D77&gt;0,30-D77,IF(AND(C77&gt;=$L$36,C77&lt;=$M$36),30,IF((MONTH(C77)=MONTH($M$36)),DAY($M$36),0))))))))))</f>
        <v>0</v>
      </c>
      <c r="F77" s="153">
        <f>IF($N$36="",0,IF(C77&lt;$N$36,0,IF(AND(MONTH($N$36)=MONTH($O$36),MONTH(C77)=MONTH($O$36)),$O$37,IF(AND(MONTH($N$36)&lt;&gt;MONTH($O$36),MONTH(C77)=MONTH($N$36)),$O$37,IF(AND(E77&gt;0,MONTH($N$36)=MONTH($M$36)),30-DAY($M$36),(IF(E77&gt;0,30-D77-E77,IF(AND(C77&gt;=$N$36,C77&lt;=$O$36),30,IF((MONTH(C77)=MONTH($O$36)),DAY($O$36),0)))))))))</f>
        <v>0</v>
      </c>
      <c r="G77" s="154">
        <f>(D77*$J$38/30)+(E77*$L$38/30)+(F77*$N$38/30)</f>
        <v>0</v>
      </c>
      <c r="H77" s="155" t="str">
        <f t="shared" ref="H77:H85" si="34">IF(AND(SUM(D77:F77)=30,F77&gt;0),$N$38*$N$42,IF(AND(SUM(D77:F77)=30,E77&gt;0),$L$38*$L$42,IF(AND(SUM(D77:F77)=30,D77&gt;0),$J$38*$J$42,"")))</f>
        <v/>
      </c>
      <c r="I77" s="156">
        <f t="shared" ref="I77:I88" si="35">IF(AND($X$9=TRUE,G77&gt;0),(MZJahr4*$O$10),0)</f>
        <v>0</v>
      </c>
      <c r="J77" s="155">
        <v>0</v>
      </c>
      <c r="K77" s="156" t="e">
        <f>IF(G77&gt;=Bmg2Jahr4,AGHBTR_Jahr4,IF('HR-DM (U3,U4,U5AUF)'!G77&gt;=Bmg1Jahr4,(RvBeitrJahr4*G77)+(AvBeitrJahr4*G77)+(U2UmlJahr4*G77)+HBetrKVJahr4+HBetrPVJahr4,AGBTR_Jahr4*G77))</f>
        <v>#N/A</v>
      </c>
      <c r="L77" s="156" t="e">
        <f t="shared" ref="L77:L88" si="36">IF($X$8=TRUE,VZunbDM1*(G77+J77+K77+I77-U2UmlJahr1*(G77+J77)),VzDmJahr1*(G77+J77))</f>
        <v>#N/A</v>
      </c>
      <c r="M77" s="156">
        <f t="shared" ref="M77:M88" si="37">IF(G77&gt;0,(LukJahr4*$W$6),0)</f>
        <v>0</v>
      </c>
      <c r="N77" s="156" t="e">
        <f>SUM(G77,J77,K77,L77,M77+I77)</f>
        <v>#N/A</v>
      </c>
      <c r="O77" s="157"/>
      <c r="P77" s="667" t="s">
        <v>12</v>
      </c>
      <c r="Q77" s="668"/>
      <c r="R77" s="152">
        <f>EOMONTH(CONCATENATE("01.","01.",$P$76),0)</f>
        <v>1492</v>
      </c>
      <c r="S77" s="153">
        <f>IF($P$36="",0,IF(AND(DAY($P$36)&gt;1,MONTH(R77)=MONTH($P$36)),$Q$37,IF(AND(R77&gt;=$P$36,R77&lt;=$Q$36),30,IF((MONTH(R77)=MONTH($Q$36)),DAY($Q$36),0))))</f>
        <v>0</v>
      </c>
      <c r="T77" s="153">
        <f>IF($V$36="",0,IF(R77&lt;$V$36,0,IF(AND(MONTH($V$36)=MONTH($W$36),MONTH(R77)=MONTH($W$36)),$W$37,IF(AND(MONTH($V$36)&lt;&gt;MONTH($W$36),MONTH(R77)=MONTH($V$36)),$W$37,IF(AND(S77&gt;0,DAY($P$36)&gt;1,MONTH($P$36)=MONTH($Q$36)),30-S77-DAY($P$36)+1,IF(AND(S77&gt;0,DAY($P$36)&gt;1),30-S77,(IF(S77&gt;0,30-S77,IF(AND(R77&gt;=$V$36,R77&lt;=$W$36),30,IF((MONTH(R77)=MONTH($W$36)),DAY($W$36),0))))))))))</f>
        <v>0</v>
      </c>
      <c r="U77" s="153">
        <f t="shared" ref="U77:U88" si="38">IF($Z$36="",0,IF(R77&lt;$Z$36,0,IF(AND(MONTH($Z$36)=MONTH($AA$36),MONTH(R77)=MONTH($AA$36)),$AA$37,IF(AND(MONTH($Z$36)&lt;&gt;MONTH($AA$36),MONTH(R77)=MONTH($Z$36)),$AA$37,IF(AND(T77&gt;0,MONTH($Z$36)=MONTH($W$36)),30-DAY($W$36),(IF(T77&gt;0,30-S77-T77,IF(AND(R77&gt;=$Z$36,R77&lt;=$AA$36),30,IF((MONTH(R77)=MONTH($AA$36)),DAY($AA$36),0)))))))))</f>
        <v>0</v>
      </c>
      <c r="V77" s="677">
        <f t="shared" ref="V77:V88" si="39">(S77*$P$38/30)+(T77*$V$38/30)+(U77*$Z$38/30)</f>
        <v>0</v>
      </c>
      <c r="W77" s="678"/>
      <c r="X77" s="155" t="str">
        <f t="shared" ref="X77:X88" si="40">IF(AND(SUM(S77:U77)=30,U77&gt;0),$Z$38*$Z$42,IF(AND(SUM(S77:U77)=30,T77&gt;0),$V$38*$V$42,IF(AND(SUM(S77:U77)=30,S77&gt;0),$P$38*$P$42,"")))</f>
        <v/>
      </c>
      <c r="Y77" s="156">
        <f t="shared" ref="Y77:Y88" si="41">IF(AND($X$9=TRUE,V77&gt;0),(MZJahr5*$O$10),0)</f>
        <v>0</v>
      </c>
      <c r="Z77" s="155">
        <v>0</v>
      </c>
      <c r="AA77" s="156" t="e">
        <f>IF(V77&gt;=Bmg2Jahr5,AGHBTR_Jahr5,IF('HR-DM (U3,U4,U5AUF)'!V77&gt;=Bmg1Jahr5,(RvBeitrJahr5*V77)+(AvBeitrJahr5*V77)+(U2UmlJahr5*V77)+HBetrKVJahr5+HBetrPVJahr5,AGBTR_Jahr5*V77))</f>
        <v>#N/A</v>
      </c>
      <c r="AB77" s="156" t="e">
        <f t="shared" ref="AB77:AB88" si="42">IF($X$8=TRUE,VZunbDM1*(U77+Y77+Z77+AA77-U2UmlJahr1*(V77+Z77)),VzDmJahr1*(V77+Z77))</f>
        <v>#N/A</v>
      </c>
      <c r="AC77" s="156">
        <f t="shared" ref="AC77:AC88" si="43">IF(V77&gt;0,(LukJahr5*$W$6),0)</f>
        <v>0</v>
      </c>
      <c r="AD77" s="156" t="e">
        <f t="shared" ref="AD77:AD88" si="44">SUM(V77,Z77,AA77,AB77,AC77+Y77)</f>
        <v>#N/A</v>
      </c>
      <c r="AE77" s="158"/>
      <c r="AF77" s="667" t="s">
        <v>12</v>
      </c>
      <c r="AG77" s="668"/>
      <c r="AH77" s="152">
        <f>EOMONTH(CONCATENATE("01.","01.",$AF$76),0)</f>
        <v>1858</v>
      </c>
      <c r="AI77" s="153">
        <f t="shared" ref="AI77:AI88" si="45">IF($AB$36="",0,IF(AND(DAY($AB$36)&gt;1,MONTH(AH77)=MONTH($AB$36)),$AC$37,IF(AND(AH77&gt;=$AB$36,AH77&lt;=$AC$36),30,IF((MONTH(AH77)=MONTH($AC$36)),DAY($AC$36),0))))</f>
        <v>0</v>
      </c>
      <c r="AJ77" s="153">
        <f t="shared" ref="AJ77:AJ88" si="46">IF($AD$36="",0,IF(AH77&lt;$AD$36,0,IF(AND(MONTH($AD$36)=MONTH($AE$36),MONTH(AH77)=MONTH($AE$36)),$AE$37,IF(AND(MONTH($AD$36)&lt;&gt;MONTH($AE$36),MONTH(AH77)=MONTH($AD$36)),$AE$37,IF(AND(AI77&gt;0,DAY($AB$36)&gt;1,MONTH($AB$36)=MONTH($AC$36)),30-AI77-DAY($AB$36)+1,IF(AND(AI77&gt;0,DAY($AB$36)&gt;1),30-AI77,(IF(AI77&gt;0,30-AI77,IF(AND(AH77&gt;=$AD$36,AH77&lt;=$AE$36),30,IF((MONTH(AH77)=MONTH($AE$36)),DAY($AE$36),0))))))))))</f>
        <v>0</v>
      </c>
      <c r="AK77" s="153">
        <f t="shared" ref="AK77:AK88" si="47">IF($AF$36="",0,IF(AH77&lt;$AF$36,0,IF(AND(MONTH($AF$36)=MONTH($AG$36),MONTH(AH77)=MONTH($AG$36)),$AG$37,IF(AND(MONTH($AF$36)&lt;&gt;MONTH($AG$36),MONTH(AH77)=MONTH($AF$36)),$AG$37,IF(AND(AJ77&gt;0,MONTH($AF$36)=MONTH($AE$36)),30-DAY($AE$36),(IF(AJ77&gt;0,30-AI77-AJ77,IF(AND(AH77&gt;=$AF$36,AH77&lt;=$AG$36),30,IF((MONTH(AH77)=MONTH($AG$36)),DAY($AG$36),0)))))))))</f>
        <v>0</v>
      </c>
      <c r="AL77" s="677">
        <f t="shared" ref="AL77:AL88" si="48">(AI77*$AB$38/30)+(AJ77*$AD$38/30)+(AK77*$AF$38/30)</f>
        <v>0</v>
      </c>
      <c r="AM77" s="678"/>
      <c r="AN77" s="155" t="str">
        <f t="shared" ref="AN77:AN88" si="49">IF(AND(SUM(AI77:AK77)=30,AK77&gt;0),$AF$38*$AF$42,IF(AND(SUM(AI77:AK77)=30,AJ77&gt;0),$AD$38*$AD$42,IF(AND(SUM(AI77:AK77)=30,AI77&gt;0),$AB$38*$AB$42,"")))</f>
        <v/>
      </c>
      <c r="AO77" s="156">
        <f t="shared" ref="AO77:AO88" si="50">IF(AND($X$9=TRUE,AL77&gt;0),(MZJahr6*$O$10),0)</f>
        <v>0</v>
      </c>
      <c r="AP77" s="155">
        <v>0</v>
      </c>
      <c r="AQ77" s="156" t="e">
        <f>IF(AL77&gt;=Bmg2Jahr6,AGHBTR_Jahr6,IF('HR-DM (U3,U4,U5AUF)'!AL77&gt;=Bmg1Jahr6,(RvBeitrJahr6*AL77)+(AvBeitrJahr6*AL77)+(U2UmlJahr6*AL77)+HBetrKVJahr6+HBetrPVJahr6,AGBTR_Jahr6*AL77))</f>
        <v>#N/A</v>
      </c>
      <c r="AR77" s="156" t="e">
        <f t="shared" ref="AR77:AR88" si="51">IF($X$8=TRUE,VZunbDM1*(AK77+AO77+AP77+AQ77-U2UmlJahr1*(AL77+AP77)),VzDmJahr1*(AL77+AP77))</f>
        <v>#N/A</v>
      </c>
      <c r="AS77" s="156">
        <f t="shared" ref="AS77:AS88" si="52">IF(AL77&gt;0,(LukJahr6*$W$6),0)</f>
        <v>0</v>
      </c>
      <c r="AT77" s="156" t="e">
        <f>SUM(AL77,AP77,AQ77,AR77,AS77+AO77)</f>
        <v>#N/A</v>
      </c>
    </row>
    <row r="78" spans="2:46" x14ac:dyDescent="0.35">
      <c r="B78" s="151" t="s">
        <v>13</v>
      </c>
      <c r="C78" s="152">
        <f>EOMONTH(CONCATENATE("01.","01.",$B$76),1)</f>
        <v>1155</v>
      </c>
      <c r="D78" s="153">
        <f t="shared" ref="D78:D88" si="53">IF($J$36="",0,IF(AND(DAY($J$36)&gt;1,MONTH(C78)=MONTH($J$36)),$K$37,IF(AND(C78&gt;=$J$36,C78&lt;=$K$36),30,IF((MONTH(C78)=MONTH($K$36)),DAY($K$36),0))))</f>
        <v>0</v>
      </c>
      <c r="E78" s="153">
        <f t="shared" ref="E78:E88" si="54">IF($L$36="",0,IF(C78&lt;$L$36,0,IF(AND(MONTH($L$36)=MONTH($M$36),MONTH(C78)=MONTH($M$36)),$M$37,IF(AND(MONTH($L$36)&lt;&gt;MONTH($M$36),MONTH(C78)=MONTH($L$36)),$M$37,IF(AND(D78&gt;0,DAY($J$36)&gt;1,MONTH($J$36)=MONTH($K$36)),30-D78-DAY($J$36)+1,IF(AND(D78&gt;0,DAY($J$36)&gt;1),30-D78,(IF(D78&gt;0,30-D78,IF(AND(C78&gt;=$L$36,C78&lt;=$M$36),30,IF((MONTH(C78)=MONTH($M$36)),DAY($M$36),0))))))))))</f>
        <v>0</v>
      </c>
      <c r="F78" s="153">
        <f t="shared" ref="F78:F88" si="55">IF($N$36="",0,IF(C78&lt;$N$36,0,IF(AND(MONTH($N$36)=MONTH($O$36),MONTH(C78)=MONTH($O$36)),$O$37,IF(AND(MONTH($N$36)&lt;&gt;MONTH($O$36),MONTH(C78)=MONTH($N$36)),$O$37,IF(AND(E78&gt;0,MONTH($N$36)=MONTH($M$36)),30-DAY($M$36),(IF(E78&gt;0,30-D78-E78,IF(AND(C78&gt;=$N$36,C78&lt;=$O$36),30,IF((MONTH(C78)=MONTH($O$36)),DAY($O$36),0)))))))))</f>
        <v>0</v>
      </c>
      <c r="G78" s="154">
        <f t="shared" ref="G78:G88" si="56">(D78*$J$38/30)+(E78*$L$38/30)+(F78*$N$38/30)</f>
        <v>0</v>
      </c>
      <c r="H78" s="155" t="str">
        <f t="shared" si="34"/>
        <v/>
      </c>
      <c r="I78" s="156">
        <f t="shared" si="35"/>
        <v>0</v>
      </c>
      <c r="J78" s="155">
        <v>0</v>
      </c>
      <c r="K78" s="156" t="e">
        <f>IF(G78&gt;=Bmg2Jahr4,AGHBTR_Jahr4,IF('HR-DM (U3,U4,U5AUF)'!G78&gt;=Bmg1Jahr4,(RvBeitrJahr4*G78)+(AvBeitrJahr4*G78)+(U2UmlJahr4*G78)+HBetrKVJahr4+HBetrPVJahr4,AGBTR_Jahr4*G78))</f>
        <v>#N/A</v>
      </c>
      <c r="L78" s="156" t="e">
        <f t="shared" si="36"/>
        <v>#N/A</v>
      </c>
      <c r="M78" s="156">
        <f t="shared" si="37"/>
        <v>0</v>
      </c>
      <c r="N78" s="156" t="e">
        <f t="shared" ref="N78:N88" si="57">SUM(G78,J78,K78,L78,M78+I78)</f>
        <v>#N/A</v>
      </c>
      <c r="O78" s="186"/>
      <c r="P78" s="667" t="s">
        <v>13</v>
      </c>
      <c r="Q78" s="668"/>
      <c r="R78" s="152">
        <f>EOMONTH(CONCATENATE("01.","01.",$P$76),1)</f>
        <v>1521</v>
      </c>
      <c r="S78" s="153">
        <f t="shared" ref="S78:S88" si="58">IF($P$36="",0,IF(AND(DAY($P$36)&gt;1,MONTH(R78)=MONTH($P$36)),$Q$37,IF(AND(R78&gt;=$P$36,R78&lt;=$Q$36),30,IF((MONTH(R78)=MONTH($Q$36)),DAY($Q$36),0))))</f>
        <v>0</v>
      </c>
      <c r="T78" s="153">
        <f t="shared" ref="T78:T88" si="59">IF($V$36="",0,IF(R78&lt;$V$36,0,IF(AND(MONTH($V$36)=MONTH($W$36),MONTH(R78)=MONTH($W$36)),$W$37,IF(AND(MONTH($V$36)&lt;&gt;MONTH($W$36),MONTH(R78)=MONTH($V$36)),$W$37,IF(AND(S78&gt;0,DAY($P$36)&gt;1,MONTH($P$36)=MONTH($Q$36)),30-S78-DAY($P$36)+1,IF(AND(S78&gt;0,DAY($P$36)&gt;1),30-S78,(IF(S78&gt;0,30-S78,IF(AND(R78&gt;=$V$36,R78&lt;=$W$36),30,IF((MONTH(R78)=MONTH($W$36)),DAY($W$36),0))))))))))</f>
        <v>0</v>
      </c>
      <c r="U78" s="153">
        <f t="shared" si="38"/>
        <v>0</v>
      </c>
      <c r="V78" s="677">
        <f t="shared" si="39"/>
        <v>0</v>
      </c>
      <c r="W78" s="678"/>
      <c r="X78" s="155" t="str">
        <f t="shared" si="40"/>
        <v/>
      </c>
      <c r="Y78" s="156">
        <f t="shared" si="41"/>
        <v>0</v>
      </c>
      <c r="Z78" s="155">
        <v>0</v>
      </c>
      <c r="AA78" s="156" t="e">
        <f>IF(V78&gt;=Bmg2Jahr5,AGHBTR_Jahr5,IF('HR-DM (U3,U4,U5AUF)'!V78&gt;=Bmg1Jahr5,(RvBeitrJahr5*V78)+(AvBeitrJahr5*V78)+(U2UmlJahr5*V78)+HBetrKVJahr5+HBetrPVJahr5,AGBTR_Jahr5*V78))</f>
        <v>#N/A</v>
      </c>
      <c r="AB78" s="156" t="e">
        <f t="shared" si="42"/>
        <v>#N/A</v>
      </c>
      <c r="AC78" s="156">
        <f t="shared" si="43"/>
        <v>0</v>
      </c>
      <c r="AD78" s="156" t="e">
        <f t="shared" si="44"/>
        <v>#N/A</v>
      </c>
      <c r="AE78" s="158"/>
      <c r="AF78" s="667" t="s">
        <v>13</v>
      </c>
      <c r="AG78" s="668"/>
      <c r="AH78" s="152">
        <f>EOMONTH(CONCATENATE("01.","01.",$AF$76),1)</f>
        <v>1886</v>
      </c>
      <c r="AI78" s="153">
        <f t="shared" si="45"/>
        <v>0</v>
      </c>
      <c r="AJ78" s="153">
        <f t="shared" si="46"/>
        <v>0</v>
      </c>
      <c r="AK78" s="153">
        <f t="shared" si="47"/>
        <v>0</v>
      </c>
      <c r="AL78" s="677">
        <f t="shared" si="48"/>
        <v>0</v>
      </c>
      <c r="AM78" s="678"/>
      <c r="AN78" s="155" t="str">
        <f t="shared" si="49"/>
        <v/>
      </c>
      <c r="AO78" s="156">
        <f t="shared" si="50"/>
        <v>0</v>
      </c>
      <c r="AP78" s="155">
        <v>0</v>
      </c>
      <c r="AQ78" s="156" t="e">
        <f>IF(AL78&gt;=Bmg2Jahr6,AGHBTR_Jahr6,IF('HR-DM (U3,U4,U5AUF)'!AL78&gt;=Bmg1Jahr6,(RvBeitrJahr6*AL78)+(AvBeitrJahr6*AL78)+(U2UmlJahr6*AL78)+HBetrKVJahr6+HBetrPVJahr6,AGBTR_Jahr6*AL78))</f>
        <v>#N/A</v>
      </c>
      <c r="AR78" s="156" t="e">
        <f t="shared" si="51"/>
        <v>#N/A</v>
      </c>
      <c r="AS78" s="156">
        <f t="shared" si="52"/>
        <v>0</v>
      </c>
      <c r="AT78" s="156" t="e">
        <f t="shared" ref="AT78:AT88" si="60">SUM(AL78,AP78,AQ78,AR78,AS78+AO78)</f>
        <v>#N/A</v>
      </c>
    </row>
    <row r="79" spans="2:46" x14ac:dyDescent="0.35">
      <c r="B79" s="151" t="s">
        <v>14</v>
      </c>
      <c r="C79" s="152">
        <f>EOMONTH(CONCATENATE("01.","01.",$B$76),2)</f>
        <v>1186</v>
      </c>
      <c r="D79" s="153">
        <f t="shared" si="53"/>
        <v>0</v>
      </c>
      <c r="E79" s="153">
        <f t="shared" si="54"/>
        <v>0</v>
      </c>
      <c r="F79" s="153">
        <f t="shared" si="55"/>
        <v>0</v>
      </c>
      <c r="G79" s="154">
        <f t="shared" si="56"/>
        <v>0</v>
      </c>
      <c r="H79" s="155" t="str">
        <f t="shared" si="34"/>
        <v/>
      </c>
      <c r="I79" s="156">
        <f t="shared" si="35"/>
        <v>0</v>
      </c>
      <c r="J79" s="155">
        <v>0</v>
      </c>
      <c r="K79" s="156" t="e">
        <f>IF(G79&gt;=Bmg2Jahr4,AGHBTR_Jahr4,IF('HR-DM (U3,U4,U5AUF)'!G79&gt;=Bmg1Jahr4,(RvBeitrJahr4*G79)+(AvBeitrJahr4*G79)+(U2UmlJahr4*G79)+HBetrKVJahr4+HBetrPVJahr4,AGBTR_Jahr4*G79))</f>
        <v>#N/A</v>
      </c>
      <c r="L79" s="156" t="e">
        <f t="shared" si="36"/>
        <v>#N/A</v>
      </c>
      <c r="M79" s="156">
        <f t="shared" si="37"/>
        <v>0</v>
      </c>
      <c r="N79" s="156" t="e">
        <f t="shared" si="57"/>
        <v>#N/A</v>
      </c>
      <c r="O79" s="157"/>
      <c r="P79" s="667" t="s">
        <v>14</v>
      </c>
      <c r="Q79" s="668"/>
      <c r="R79" s="152">
        <f>EOMONTH(CONCATENATE("01.","01.",$P$76),2)</f>
        <v>1552</v>
      </c>
      <c r="S79" s="153">
        <f t="shared" si="58"/>
        <v>0</v>
      </c>
      <c r="T79" s="153">
        <f t="shared" si="59"/>
        <v>0</v>
      </c>
      <c r="U79" s="153">
        <f t="shared" si="38"/>
        <v>0</v>
      </c>
      <c r="V79" s="677">
        <f t="shared" si="39"/>
        <v>0</v>
      </c>
      <c r="W79" s="678"/>
      <c r="X79" s="155" t="str">
        <f t="shared" si="40"/>
        <v/>
      </c>
      <c r="Y79" s="156">
        <f t="shared" si="41"/>
        <v>0</v>
      </c>
      <c r="Z79" s="155">
        <v>0</v>
      </c>
      <c r="AA79" s="156" t="e">
        <f>IF(V79&gt;=Bmg2Jahr5,AGHBTR_Jahr5,IF('HR-DM (U3,U4,U5AUF)'!V79&gt;=Bmg1Jahr5,(RvBeitrJahr5*V79)+(AvBeitrJahr5*V79)+(U2UmlJahr5*V79)+HBetrKVJahr5+HBetrPVJahr5,AGBTR_Jahr5*V79))</f>
        <v>#N/A</v>
      </c>
      <c r="AB79" s="156" t="e">
        <f t="shared" si="42"/>
        <v>#N/A</v>
      </c>
      <c r="AC79" s="156">
        <f t="shared" si="43"/>
        <v>0</v>
      </c>
      <c r="AD79" s="156" t="e">
        <f t="shared" si="44"/>
        <v>#N/A</v>
      </c>
      <c r="AE79" s="158"/>
      <c r="AF79" s="667" t="s">
        <v>14</v>
      </c>
      <c r="AG79" s="668"/>
      <c r="AH79" s="152">
        <f>EOMONTH(CONCATENATE("01.","01.",$AF$76),2)</f>
        <v>1917</v>
      </c>
      <c r="AI79" s="153">
        <f t="shared" si="45"/>
        <v>0</v>
      </c>
      <c r="AJ79" s="153">
        <f t="shared" si="46"/>
        <v>0</v>
      </c>
      <c r="AK79" s="153">
        <f t="shared" si="47"/>
        <v>0</v>
      </c>
      <c r="AL79" s="677">
        <f t="shared" si="48"/>
        <v>0</v>
      </c>
      <c r="AM79" s="678"/>
      <c r="AN79" s="155" t="str">
        <f t="shared" si="49"/>
        <v/>
      </c>
      <c r="AO79" s="156">
        <f t="shared" si="50"/>
        <v>0</v>
      </c>
      <c r="AP79" s="155">
        <v>0</v>
      </c>
      <c r="AQ79" s="156" t="e">
        <f>IF(AL79&gt;=Bmg2Jahr6,AGHBTR_Jahr6,IF('HR-DM (U3,U4,U5AUF)'!AL79&gt;=Bmg1Jahr6,(RvBeitrJahr6*AL79)+(AvBeitrJahr6*AL79)+(U2UmlJahr6*AL79)+HBetrKVJahr6+HBetrPVJahr6,AGBTR_Jahr6*AL79))</f>
        <v>#N/A</v>
      </c>
      <c r="AR79" s="156" t="e">
        <f t="shared" si="51"/>
        <v>#N/A</v>
      </c>
      <c r="AS79" s="156">
        <f t="shared" si="52"/>
        <v>0</v>
      </c>
      <c r="AT79" s="156" t="e">
        <f t="shared" si="60"/>
        <v>#N/A</v>
      </c>
    </row>
    <row r="80" spans="2:46" x14ac:dyDescent="0.35">
      <c r="B80" s="151" t="s">
        <v>15</v>
      </c>
      <c r="C80" s="152">
        <f>EOMONTH(CONCATENATE("01.","01.",$B$76),3)</f>
        <v>1216</v>
      </c>
      <c r="D80" s="153">
        <f t="shared" si="53"/>
        <v>0</v>
      </c>
      <c r="E80" s="153">
        <f t="shared" si="54"/>
        <v>0</v>
      </c>
      <c r="F80" s="153">
        <f t="shared" si="55"/>
        <v>0</v>
      </c>
      <c r="G80" s="154">
        <f t="shared" si="56"/>
        <v>0</v>
      </c>
      <c r="H80" s="155" t="str">
        <f t="shared" si="34"/>
        <v/>
      </c>
      <c r="I80" s="156">
        <f t="shared" si="35"/>
        <v>0</v>
      </c>
      <c r="J80" s="155">
        <v>0</v>
      </c>
      <c r="K80" s="156" t="e">
        <f>IF(G80&gt;=Bmg2Jahr4,AGHBTR_Jahr4,IF('HR-DM (U3,U4,U5AUF)'!G80&gt;=Bmg1Jahr4,(RvBeitrJahr4*G80)+(AvBeitrJahr4*G80)+(U2UmlJahr4*G80)+HBetrKVJahr4+HBetrPVJahr4,AGBTR_Jahr4*G80))</f>
        <v>#N/A</v>
      </c>
      <c r="L80" s="156" t="e">
        <f t="shared" si="36"/>
        <v>#N/A</v>
      </c>
      <c r="M80" s="156">
        <f t="shared" si="37"/>
        <v>0</v>
      </c>
      <c r="N80" s="156" t="e">
        <f t="shared" si="57"/>
        <v>#N/A</v>
      </c>
      <c r="O80" s="157"/>
      <c r="P80" s="667" t="s">
        <v>15</v>
      </c>
      <c r="Q80" s="668"/>
      <c r="R80" s="152">
        <f>EOMONTH(CONCATENATE("01.","01.",$P$76),3)</f>
        <v>1582</v>
      </c>
      <c r="S80" s="153">
        <f t="shared" si="58"/>
        <v>0</v>
      </c>
      <c r="T80" s="153">
        <f t="shared" si="59"/>
        <v>0</v>
      </c>
      <c r="U80" s="153">
        <f t="shared" si="38"/>
        <v>0</v>
      </c>
      <c r="V80" s="677">
        <f t="shared" si="39"/>
        <v>0</v>
      </c>
      <c r="W80" s="678"/>
      <c r="X80" s="155" t="str">
        <f t="shared" si="40"/>
        <v/>
      </c>
      <c r="Y80" s="156">
        <f t="shared" si="41"/>
        <v>0</v>
      </c>
      <c r="Z80" s="155">
        <v>0</v>
      </c>
      <c r="AA80" s="156" t="e">
        <f>IF(V80&gt;=Bmg2Jahr5,AGHBTR_Jahr5,IF('HR-DM (U3,U4,U5AUF)'!V80&gt;=Bmg1Jahr5,(RvBeitrJahr5*V80)+(AvBeitrJahr5*V80)+(U2UmlJahr5*V80)+HBetrKVJahr5+HBetrPVJahr5,AGBTR_Jahr5*V80))</f>
        <v>#N/A</v>
      </c>
      <c r="AB80" s="156" t="e">
        <f t="shared" si="42"/>
        <v>#N/A</v>
      </c>
      <c r="AC80" s="156">
        <f t="shared" si="43"/>
        <v>0</v>
      </c>
      <c r="AD80" s="156" t="e">
        <f t="shared" si="44"/>
        <v>#N/A</v>
      </c>
      <c r="AE80" s="158"/>
      <c r="AF80" s="667" t="s">
        <v>15</v>
      </c>
      <c r="AG80" s="668"/>
      <c r="AH80" s="152">
        <f>EOMONTH(CONCATENATE("01.","01.",$AF$76),3)</f>
        <v>1947</v>
      </c>
      <c r="AI80" s="153">
        <f t="shared" si="45"/>
        <v>0</v>
      </c>
      <c r="AJ80" s="153">
        <f t="shared" si="46"/>
        <v>0</v>
      </c>
      <c r="AK80" s="153">
        <f t="shared" si="47"/>
        <v>0</v>
      </c>
      <c r="AL80" s="677">
        <f t="shared" si="48"/>
        <v>0</v>
      </c>
      <c r="AM80" s="678"/>
      <c r="AN80" s="155" t="str">
        <f t="shared" si="49"/>
        <v/>
      </c>
      <c r="AO80" s="156">
        <f t="shared" si="50"/>
        <v>0</v>
      </c>
      <c r="AP80" s="155">
        <v>0</v>
      </c>
      <c r="AQ80" s="156" t="e">
        <f>IF(AL80&gt;=Bmg2Jahr6,AGHBTR_Jahr6,IF('HR-DM (U3,U4,U5AUF)'!AL80&gt;=Bmg1Jahr6,(RvBeitrJahr6*AL80)+(AvBeitrJahr6*AL80)+(U2UmlJahr6*AL80)+HBetrKVJahr6+HBetrPVJahr6,AGBTR_Jahr6*AL80))</f>
        <v>#N/A</v>
      </c>
      <c r="AR80" s="156" t="e">
        <f t="shared" si="51"/>
        <v>#N/A</v>
      </c>
      <c r="AS80" s="156">
        <f t="shared" si="52"/>
        <v>0</v>
      </c>
      <c r="AT80" s="156" t="e">
        <f t="shared" si="60"/>
        <v>#N/A</v>
      </c>
    </row>
    <row r="81" spans="2:46" x14ac:dyDescent="0.35">
      <c r="B81" s="151" t="s">
        <v>16</v>
      </c>
      <c r="C81" s="152">
        <f>EOMONTH(CONCATENATE("01.","01.",$B$76),4)</f>
        <v>1247</v>
      </c>
      <c r="D81" s="153">
        <f t="shared" si="53"/>
        <v>0</v>
      </c>
      <c r="E81" s="153">
        <f t="shared" si="54"/>
        <v>0</v>
      </c>
      <c r="F81" s="153">
        <f t="shared" si="55"/>
        <v>0</v>
      </c>
      <c r="G81" s="154">
        <f t="shared" si="56"/>
        <v>0</v>
      </c>
      <c r="H81" s="155" t="str">
        <f t="shared" si="34"/>
        <v/>
      </c>
      <c r="I81" s="156">
        <f t="shared" si="35"/>
        <v>0</v>
      </c>
      <c r="J81" s="155">
        <v>0</v>
      </c>
      <c r="K81" s="156" t="e">
        <f>IF(G81&gt;=Bmg2Jahr4,AGHBTR_Jahr4,IF('HR-DM (U3,U4,U5AUF)'!G81&gt;=Bmg1Jahr4,(RvBeitrJahr4*G81)+(AvBeitrJahr4*G81)+(U2UmlJahr4*G81)+HBetrKVJahr4+HBetrPVJahr4,AGBTR_Jahr4*G81))</f>
        <v>#N/A</v>
      </c>
      <c r="L81" s="156" t="e">
        <f t="shared" si="36"/>
        <v>#N/A</v>
      </c>
      <c r="M81" s="156">
        <f t="shared" si="37"/>
        <v>0</v>
      </c>
      <c r="N81" s="156" t="e">
        <f t="shared" si="57"/>
        <v>#N/A</v>
      </c>
      <c r="O81" s="157"/>
      <c r="P81" s="667" t="s">
        <v>16</v>
      </c>
      <c r="Q81" s="668"/>
      <c r="R81" s="152">
        <f>EOMONTH(CONCATENATE("01.","01.",$P$76),4)</f>
        <v>1613</v>
      </c>
      <c r="S81" s="153">
        <f t="shared" si="58"/>
        <v>0</v>
      </c>
      <c r="T81" s="153">
        <f t="shared" si="59"/>
        <v>0</v>
      </c>
      <c r="U81" s="153">
        <f t="shared" si="38"/>
        <v>0</v>
      </c>
      <c r="V81" s="677">
        <f t="shared" si="39"/>
        <v>0</v>
      </c>
      <c r="W81" s="678"/>
      <c r="X81" s="155" t="str">
        <f t="shared" si="40"/>
        <v/>
      </c>
      <c r="Y81" s="156">
        <f t="shared" si="41"/>
        <v>0</v>
      </c>
      <c r="Z81" s="155">
        <v>0</v>
      </c>
      <c r="AA81" s="156" t="e">
        <f>IF(V81&gt;=Bmg2Jahr5,AGHBTR_Jahr5,IF('HR-DM (U3,U4,U5AUF)'!V81&gt;=Bmg1Jahr5,(RvBeitrJahr5*V81)+(AvBeitrJahr5*V81)+(U2UmlJahr5*V81)+HBetrKVJahr5+HBetrPVJahr5,AGBTR_Jahr5*V81))</f>
        <v>#N/A</v>
      </c>
      <c r="AB81" s="156" t="e">
        <f t="shared" si="42"/>
        <v>#N/A</v>
      </c>
      <c r="AC81" s="156">
        <f t="shared" si="43"/>
        <v>0</v>
      </c>
      <c r="AD81" s="156" t="e">
        <f t="shared" si="44"/>
        <v>#N/A</v>
      </c>
      <c r="AE81" s="158"/>
      <c r="AF81" s="667" t="s">
        <v>16</v>
      </c>
      <c r="AG81" s="668"/>
      <c r="AH81" s="152">
        <f>EOMONTH(CONCATENATE("01.","01.",$AF$76),4)</f>
        <v>1978</v>
      </c>
      <c r="AI81" s="153">
        <f t="shared" si="45"/>
        <v>0</v>
      </c>
      <c r="AJ81" s="153">
        <f t="shared" si="46"/>
        <v>0</v>
      </c>
      <c r="AK81" s="153">
        <f t="shared" si="47"/>
        <v>0</v>
      </c>
      <c r="AL81" s="677">
        <f t="shared" si="48"/>
        <v>0</v>
      </c>
      <c r="AM81" s="678"/>
      <c r="AN81" s="155" t="str">
        <f t="shared" si="49"/>
        <v/>
      </c>
      <c r="AO81" s="156">
        <f t="shared" si="50"/>
        <v>0</v>
      </c>
      <c r="AP81" s="155">
        <v>0</v>
      </c>
      <c r="AQ81" s="156" t="e">
        <f>IF(AL81&gt;=Bmg2Jahr6,AGHBTR_Jahr6,IF('HR-DM (U3,U4,U5AUF)'!AL81&gt;=Bmg1Jahr6,(RvBeitrJahr6*AL81)+(AvBeitrJahr6*AL81)+(U2UmlJahr6*AL81)+HBetrKVJahr6+HBetrPVJahr6,AGBTR_Jahr6*AL81))</f>
        <v>#N/A</v>
      </c>
      <c r="AR81" s="156" t="e">
        <f t="shared" si="51"/>
        <v>#N/A</v>
      </c>
      <c r="AS81" s="156">
        <f t="shared" si="52"/>
        <v>0</v>
      </c>
      <c r="AT81" s="156" t="e">
        <f t="shared" si="60"/>
        <v>#N/A</v>
      </c>
    </row>
    <row r="82" spans="2:46" x14ac:dyDescent="0.35">
      <c r="B82" s="151" t="s">
        <v>17</v>
      </c>
      <c r="C82" s="152">
        <f>EOMONTH(CONCATENATE("01.","01.",$B$76),5)</f>
        <v>1277</v>
      </c>
      <c r="D82" s="153">
        <f t="shared" si="53"/>
        <v>0</v>
      </c>
      <c r="E82" s="153">
        <f t="shared" si="54"/>
        <v>0</v>
      </c>
      <c r="F82" s="153">
        <f t="shared" si="55"/>
        <v>0</v>
      </c>
      <c r="G82" s="154">
        <f t="shared" si="56"/>
        <v>0</v>
      </c>
      <c r="H82" s="155" t="str">
        <f t="shared" si="34"/>
        <v/>
      </c>
      <c r="I82" s="156">
        <f t="shared" si="35"/>
        <v>0</v>
      </c>
      <c r="J82" s="155">
        <v>0</v>
      </c>
      <c r="K82" s="156" t="e">
        <f>IF(G82&gt;=Bmg2Jahr4,AGHBTR_Jahr4,IF('HR-DM (U3,U4,U5AUF)'!G82&gt;=Bmg1Jahr4,(RvBeitrJahr4*G82)+(AvBeitrJahr4*G82)+(U2UmlJahr4*G82)+HBetrKVJahr4+HBetrPVJahr4,AGBTR_Jahr4*G82))</f>
        <v>#N/A</v>
      </c>
      <c r="L82" s="156" t="e">
        <f t="shared" si="36"/>
        <v>#N/A</v>
      </c>
      <c r="M82" s="156">
        <f t="shared" si="37"/>
        <v>0</v>
      </c>
      <c r="N82" s="156" t="e">
        <f t="shared" si="57"/>
        <v>#N/A</v>
      </c>
      <c r="O82" s="157"/>
      <c r="P82" s="667" t="s">
        <v>17</v>
      </c>
      <c r="Q82" s="668"/>
      <c r="R82" s="152">
        <f>EOMONTH(CONCATENATE("01.","01.",$P$76),5)</f>
        <v>1643</v>
      </c>
      <c r="S82" s="153">
        <f t="shared" si="58"/>
        <v>0</v>
      </c>
      <c r="T82" s="153">
        <f t="shared" si="59"/>
        <v>0</v>
      </c>
      <c r="U82" s="153">
        <f t="shared" si="38"/>
        <v>0</v>
      </c>
      <c r="V82" s="677">
        <f t="shared" si="39"/>
        <v>0</v>
      </c>
      <c r="W82" s="678"/>
      <c r="X82" s="155" t="str">
        <f t="shared" si="40"/>
        <v/>
      </c>
      <c r="Y82" s="156">
        <f t="shared" si="41"/>
        <v>0</v>
      </c>
      <c r="Z82" s="155">
        <v>0</v>
      </c>
      <c r="AA82" s="156" t="e">
        <f>IF(V82&gt;=Bmg2Jahr5,AGHBTR_Jahr5,IF('HR-DM (U3,U4,U5AUF)'!V82&gt;=Bmg1Jahr5,(RvBeitrJahr5*V82)+(AvBeitrJahr5*V82)+(U2UmlJahr5*V82)+HBetrKVJahr5+HBetrPVJahr5,AGBTR_Jahr5*V82))</f>
        <v>#N/A</v>
      </c>
      <c r="AB82" s="156" t="e">
        <f t="shared" si="42"/>
        <v>#N/A</v>
      </c>
      <c r="AC82" s="156">
        <f t="shared" si="43"/>
        <v>0</v>
      </c>
      <c r="AD82" s="156" t="e">
        <f t="shared" si="44"/>
        <v>#N/A</v>
      </c>
      <c r="AE82" s="158"/>
      <c r="AF82" s="667" t="s">
        <v>17</v>
      </c>
      <c r="AG82" s="668"/>
      <c r="AH82" s="152">
        <f>EOMONTH(CONCATENATE("01.","01.",$AF$76),5)</f>
        <v>2008</v>
      </c>
      <c r="AI82" s="153">
        <f t="shared" si="45"/>
        <v>0</v>
      </c>
      <c r="AJ82" s="153">
        <f t="shared" si="46"/>
        <v>0</v>
      </c>
      <c r="AK82" s="153">
        <f t="shared" si="47"/>
        <v>0</v>
      </c>
      <c r="AL82" s="677">
        <f t="shared" si="48"/>
        <v>0</v>
      </c>
      <c r="AM82" s="678"/>
      <c r="AN82" s="155" t="str">
        <f t="shared" si="49"/>
        <v/>
      </c>
      <c r="AO82" s="156">
        <f t="shared" si="50"/>
        <v>0</v>
      </c>
      <c r="AP82" s="155">
        <v>0</v>
      </c>
      <c r="AQ82" s="156" t="e">
        <f>IF(AL82&gt;=Bmg2Jahr6,AGHBTR_Jahr6,IF('HR-DM (U3,U4,U5AUF)'!AL82&gt;=Bmg1Jahr6,(RvBeitrJahr6*AL82)+(AvBeitrJahr6*AL82)+(U2UmlJahr6*AL82)+HBetrKVJahr6+HBetrPVJahr6,AGBTR_Jahr6*AL82))</f>
        <v>#N/A</v>
      </c>
      <c r="AR82" s="156" t="e">
        <f t="shared" si="51"/>
        <v>#N/A</v>
      </c>
      <c r="AS82" s="156">
        <f t="shared" si="52"/>
        <v>0</v>
      </c>
      <c r="AT82" s="156" t="e">
        <f t="shared" si="60"/>
        <v>#N/A</v>
      </c>
    </row>
    <row r="83" spans="2:46" x14ac:dyDescent="0.35">
      <c r="B83" s="151" t="s">
        <v>18</v>
      </c>
      <c r="C83" s="152">
        <f>EOMONTH(CONCATENATE("01.","01.",$B$76),6)</f>
        <v>1308</v>
      </c>
      <c r="D83" s="153">
        <f t="shared" si="53"/>
        <v>0</v>
      </c>
      <c r="E83" s="153">
        <f t="shared" si="54"/>
        <v>0</v>
      </c>
      <c r="F83" s="153">
        <f t="shared" si="55"/>
        <v>0</v>
      </c>
      <c r="G83" s="154">
        <f t="shared" si="56"/>
        <v>0</v>
      </c>
      <c r="H83" s="155" t="str">
        <f t="shared" si="34"/>
        <v/>
      </c>
      <c r="I83" s="156">
        <f t="shared" si="35"/>
        <v>0</v>
      </c>
      <c r="J83" s="155">
        <v>0</v>
      </c>
      <c r="K83" s="156" t="e">
        <f>IF(G83&gt;=Bmg2Jahr4,AGHBTR_Jahr4,IF('HR-DM (U3,U4,U5AUF)'!G83&gt;=Bmg1Jahr4,(RvBeitrJahr4*G83)+(AvBeitrJahr4*G83)+(U2UmlJahr4*G83)+HBetrKVJahr4+HBetrPVJahr4,AGBTR_Jahr4*G83))</f>
        <v>#N/A</v>
      </c>
      <c r="L83" s="156" t="e">
        <f t="shared" si="36"/>
        <v>#N/A</v>
      </c>
      <c r="M83" s="156">
        <f t="shared" si="37"/>
        <v>0</v>
      </c>
      <c r="N83" s="156" t="e">
        <f t="shared" si="57"/>
        <v>#N/A</v>
      </c>
      <c r="O83" s="157"/>
      <c r="P83" s="667" t="s">
        <v>18</v>
      </c>
      <c r="Q83" s="668"/>
      <c r="R83" s="152">
        <f>EOMONTH(CONCATENATE("01.","01.",$P$76),6)</f>
        <v>1674</v>
      </c>
      <c r="S83" s="153">
        <f t="shared" si="58"/>
        <v>0</v>
      </c>
      <c r="T83" s="153">
        <f t="shared" si="59"/>
        <v>0</v>
      </c>
      <c r="U83" s="153">
        <f t="shared" si="38"/>
        <v>0</v>
      </c>
      <c r="V83" s="677">
        <f t="shared" si="39"/>
        <v>0</v>
      </c>
      <c r="W83" s="678"/>
      <c r="X83" s="155" t="str">
        <f t="shared" si="40"/>
        <v/>
      </c>
      <c r="Y83" s="156">
        <f t="shared" si="41"/>
        <v>0</v>
      </c>
      <c r="Z83" s="155">
        <v>0</v>
      </c>
      <c r="AA83" s="156" t="e">
        <f>IF(V83&gt;=Bmg2Jahr5,AGHBTR_Jahr5,IF('HR-DM (U3,U4,U5AUF)'!V83&gt;=Bmg1Jahr5,(RvBeitrJahr5*V83)+(AvBeitrJahr5*V83)+(U2UmlJahr5*V83)+HBetrKVJahr5+HBetrPVJahr5,AGBTR_Jahr5*V83))</f>
        <v>#N/A</v>
      </c>
      <c r="AB83" s="156" t="e">
        <f t="shared" si="42"/>
        <v>#N/A</v>
      </c>
      <c r="AC83" s="156">
        <f t="shared" si="43"/>
        <v>0</v>
      </c>
      <c r="AD83" s="156" t="e">
        <f t="shared" si="44"/>
        <v>#N/A</v>
      </c>
      <c r="AE83" s="158"/>
      <c r="AF83" s="667" t="s">
        <v>18</v>
      </c>
      <c r="AG83" s="668"/>
      <c r="AH83" s="152">
        <f>EOMONTH(CONCATENATE("01.","01.",$AF$76),6)</f>
        <v>2039</v>
      </c>
      <c r="AI83" s="153">
        <f t="shared" si="45"/>
        <v>0</v>
      </c>
      <c r="AJ83" s="153">
        <f t="shared" si="46"/>
        <v>0</v>
      </c>
      <c r="AK83" s="153">
        <f t="shared" si="47"/>
        <v>0</v>
      </c>
      <c r="AL83" s="677">
        <f t="shared" si="48"/>
        <v>0</v>
      </c>
      <c r="AM83" s="678"/>
      <c r="AN83" s="155" t="str">
        <f t="shared" si="49"/>
        <v/>
      </c>
      <c r="AO83" s="156">
        <f t="shared" si="50"/>
        <v>0</v>
      </c>
      <c r="AP83" s="155">
        <v>0</v>
      </c>
      <c r="AQ83" s="156" t="e">
        <f>IF(AL83&gt;=Bmg2Jahr6,AGHBTR_Jahr6,IF('HR-DM (U3,U4,U5AUF)'!AL83&gt;=Bmg1Jahr6,(RvBeitrJahr6*AL83)+(AvBeitrJahr6*AL83)+(U2UmlJahr6*AL83)+HBetrKVJahr6+HBetrPVJahr6,AGBTR_Jahr6*AL83))</f>
        <v>#N/A</v>
      </c>
      <c r="AR83" s="156" t="e">
        <f t="shared" si="51"/>
        <v>#N/A</v>
      </c>
      <c r="AS83" s="156">
        <f t="shared" si="52"/>
        <v>0</v>
      </c>
      <c r="AT83" s="156" t="e">
        <f t="shared" si="60"/>
        <v>#N/A</v>
      </c>
    </row>
    <row r="84" spans="2:46" x14ac:dyDescent="0.35">
      <c r="B84" s="151" t="s">
        <v>19</v>
      </c>
      <c r="C84" s="152">
        <f>EOMONTH(CONCATENATE("01.","01.",$B$76),7)</f>
        <v>1339</v>
      </c>
      <c r="D84" s="153">
        <f t="shared" si="53"/>
        <v>0</v>
      </c>
      <c r="E84" s="153">
        <f t="shared" si="54"/>
        <v>0</v>
      </c>
      <c r="F84" s="153">
        <f t="shared" si="55"/>
        <v>0</v>
      </c>
      <c r="G84" s="154">
        <f t="shared" si="56"/>
        <v>0</v>
      </c>
      <c r="H84" s="155" t="str">
        <f t="shared" si="34"/>
        <v/>
      </c>
      <c r="I84" s="156">
        <f t="shared" si="35"/>
        <v>0</v>
      </c>
      <c r="J84" s="155">
        <v>0</v>
      </c>
      <c r="K84" s="156" t="e">
        <f>IF(G84&gt;=Bmg2Jahr4,AGHBTR_Jahr4,IF('HR-DM (U3,U4,U5AUF)'!G84&gt;=Bmg1Jahr4,(RvBeitrJahr4*G84)+(AvBeitrJahr4*G84)+(U2UmlJahr4*G84)+HBetrKVJahr4+HBetrPVJahr4,AGBTR_Jahr4*G84))</f>
        <v>#N/A</v>
      </c>
      <c r="L84" s="156" t="e">
        <f t="shared" si="36"/>
        <v>#N/A</v>
      </c>
      <c r="M84" s="156">
        <f t="shared" si="37"/>
        <v>0</v>
      </c>
      <c r="N84" s="156" t="e">
        <f t="shared" si="57"/>
        <v>#N/A</v>
      </c>
      <c r="O84" s="157"/>
      <c r="P84" s="667" t="s">
        <v>19</v>
      </c>
      <c r="Q84" s="668"/>
      <c r="R84" s="152">
        <f>EOMONTH(CONCATENATE("01.","01.",$P$76),7)</f>
        <v>1705</v>
      </c>
      <c r="S84" s="153">
        <f t="shared" si="58"/>
        <v>0</v>
      </c>
      <c r="T84" s="153">
        <f t="shared" si="59"/>
        <v>0</v>
      </c>
      <c r="U84" s="153">
        <f t="shared" si="38"/>
        <v>0</v>
      </c>
      <c r="V84" s="677">
        <f t="shared" si="39"/>
        <v>0</v>
      </c>
      <c r="W84" s="678"/>
      <c r="X84" s="155" t="str">
        <f t="shared" si="40"/>
        <v/>
      </c>
      <c r="Y84" s="156">
        <f t="shared" si="41"/>
        <v>0</v>
      </c>
      <c r="Z84" s="155">
        <v>0</v>
      </c>
      <c r="AA84" s="156" t="e">
        <f>IF(V84&gt;=Bmg2Jahr5,AGHBTR_Jahr5,IF('HR-DM (U3,U4,U5AUF)'!V84&gt;=Bmg1Jahr5,(RvBeitrJahr5*V84)+(AvBeitrJahr5*V84)+(U2UmlJahr5*V84)+HBetrKVJahr5+HBetrPVJahr5,AGBTR_Jahr5*V84))</f>
        <v>#N/A</v>
      </c>
      <c r="AB84" s="156" t="e">
        <f t="shared" si="42"/>
        <v>#N/A</v>
      </c>
      <c r="AC84" s="156">
        <f t="shared" si="43"/>
        <v>0</v>
      </c>
      <c r="AD84" s="156" t="e">
        <f t="shared" si="44"/>
        <v>#N/A</v>
      </c>
      <c r="AE84" s="158"/>
      <c r="AF84" s="667" t="s">
        <v>19</v>
      </c>
      <c r="AG84" s="668"/>
      <c r="AH84" s="152">
        <f>EOMONTH(CONCATENATE("01.","01.",$AF$76),7)</f>
        <v>2070</v>
      </c>
      <c r="AI84" s="153">
        <f t="shared" si="45"/>
        <v>0</v>
      </c>
      <c r="AJ84" s="153">
        <f t="shared" si="46"/>
        <v>0</v>
      </c>
      <c r="AK84" s="153">
        <f t="shared" si="47"/>
        <v>0</v>
      </c>
      <c r="AL84" s="677">
        <f t="shared" si="48"/>
        <v>0</v>
      </c>
      <c r="AM84" s="678"/>
      <c r="AN84" s="155" t="str">
        <f t="shared" si="49"/>
        <v/>
      </c>
      <c r="AO84" s="156">
        <f t="shared" si="50"/>
        <v>0</v>
      </c>
      <c r="AP84" s="155">
        <v>0</v>
      </c>
      <c r="AQ84" s="156" t="e">
        <f>IF(AL84&gt;=Bmg2Jahr6,AGHBTR_Jahr6,IF('HR-DM (U3,U4,U5AUF)'!AL84&gt;=Bmg1Jahr6,(RvBeitrJahr6*AL84)+(AvBeitrJahr6*AL84)+(U2UmlJahr6*AL84)+HBetrKVJahr6+HBetrPVJahr6,AGBTR_Jahr6*AL84))</f>
        <v>#N/A</v>
      </c>
      <c r="AR84" s="156" t="e">
        <f t="shared" si="51"/>
        <v>#N/A</v>
      </c>
      <c r="AS84" s="156">
        <f t="shared" si="52"/>
        <v>0</v>
      </c>
      <c r="AT84" s="156" t="e">
        <f t="shared" si="60"/>
        <v>#N/A</v>
      </c>
    </row>
    <row r="85" spans="2:46" x14ac:dyDescent="0.35">
      <c r="B85" s="151" t="s">
        <v>20</v>
      </c>
      <c r="C85" s="152">
        <f>EOMONTH(CONCATENATE("01.","01.",$B$76),8)</f>
        <v>1369</v>
      </c>
      <c r="D85" s="153">
        <f t="shared" si="53"/>
        <v>0</v>
      </c>
      <c r="E85" s="153">
        <f t="shared" si="54"/>
        <v>0</v>
      </c>
      <c r="F85" s="153">
        <f t="shared" si="55"/>
        <v>0</v>
      </c>
      <c r="G85" s="154">
        <f t="shared" si="56"/>
        <v>0</v>
      </c>
      <c r="H85" s="155" t="str">
        <f t="shared" si="34"/>
        <v/>
      </c>
      <c r="I85" s="156">
        <f t="shared" si="35"/>
        <v>0</v>
      </c>
      <c r="J85" s="155">
        <v>0</v>
      </c>
      <c r="K85" s="156" t="e">
        <f>IF(G85&gt;=Bmg2Jahr4,AGHBTR_Jahr4,IF('HR-DM (U3,U4,U5AUF)'!G85&gt;=Bmg1Jahr4,(RvBeitrJahr4*G85)+(AvBeitrJahr4*G85)+(U2UmlJahr4*G85)+HBetrKVJahr4+HBetrPVJahr4,AGBTR_Jahr4*G85))</f>
        <v>#N/A</v>
      </c>
      <c r="L85" s="156" t="e">
        <f t="shared" si="36"/>
        <v>#N/A</v>
      </c>
      <c r="M85" s="156">
        <f t="shared" si="37"/>
        <v>0</v>
      </c>
      <c r="N85" s="156" t="e">
        <f t="shared" si="57"/>
        <v>#N/A</v>
      </c>
      <c r="O85" s="157"/>
      <c r="P85" s="667" t="s">
        <v>20</v>
      </c>
      <c r="Q85" s="668"/>
      <c r="R85" s="152">
        <f>EOMONTH(CONCATENATE("01.","01.",$P$76),8)</f>
        <v>1735</v>
      </c>
      <c r="S85" s="153">
        <f t="shared" si="58"/>
        <v>0</v>
      </c>
      <c r="T85" s="153">
        <f t="shared" si="59"/>
        <v>0</v>
      </c>
      <c r="U85" s="153">
        <f t="shared" si="38"/>
        <v>0</v>
      </c>
      <c r="V85" s="677">
        <f t="shared" si="39"/>
        <v>0</v>
      </c>
      <c r="W85" s="678"/>
      <c r="X85" s="155" t="str">
        <f t="shared" si="40"/>
        <v/>
      </c>
      <c r="Y85" s="156">
        <f t="shared" si="41"/>
        <v>0</v>
      </c>
      <c r="Z85" s="155">
        <v>0</v>
      </c>
      <c r="AA85" s="156" t="e">
        <f>IF(V85&gt;=Bmg2Jahr5,AGHBTR_Jahr5,IF('HR-DM (U3,U4,U5AUF)'!V85&gt;=Bmg1Jahr5,(RvBeitrJahr5*V85)+(AvBeitrJahr5*V85)+(U2UmlJahr5*V85)+HBetrKVJahr5+HBetrPVJahr5,AGBTR_Jahr5*V85))</f>
        <v>#N/A</v>
      </c>
      <c r="AB85" s="156" t="e">
        <f t="shared" si="42"/>
        <v>#N/A</v>
      </c>
      <c r="AC85" s="156">
        <f t="shared" si="43"/>
        <v>0</v>
      </c>
      <c r="AD85" s="156" t="e">
        <f t="shared" si="44"/>
        <v>#N/A</v>
      </c>
      <c r="AE85" s="158"/>
      <c r="AF85" s="667" t="s">
        <v>20</v>
      </c>
      <c r="AG85" s="668"/>
      <c r="AH85" s="152">
        <f>EOMONTH(CONCATENATE("01.","01.",$AF$76),8)</f>
        <v>2100</v>
      </c>
      <c r="AI85" s="153">
        <f t="shared" si="45"/>
        <v>0</v>
      </c>
      <c r="AJ85" s="153">
        <f t="shared" si="46"/>
        <v>0</v>
      </c>
      <c r="AK85" s="153">
        <f t="shared" si="47"/>
        <v>0</v>
      </c>
      <c r="AL85" s="677">
        <f t="shared" si="48"/>
        <v>0</v>
      </c>
      <c r="AM85" s="678"/>
      <c r="AN85" s="155" t="str">
        <f t="shared" si="49"/>
        <v/>
      </c>
      <c r="AO85" s="156">
        <f t="shared" si="50"/>
        <v>0</v>
      </c>
      <c r="AP85" s="155">
        <v>0</v>
      </c>
      <c r="AQ85" s="156" t="e">
        <f>IF(AL85&gt;=Bmg2Jahr6,AGHBTR_Jahr6,IF('HR-DM (U3,U4,U5AUF)'!AL85&gt;=Bmg1Jahr6,(RvBeitrJahr6*AL85)+(AvBeitrJahr6*AL85)+(U2UmlJahr6*AL85)+HBetrKVJahr6+HBetrPVJahr6,AGBTR_Jahr6*AL85))</f>
        <v>#N/A</v>
      </c>
      <c r="AR85" s="156" t="e">
        <f t="shared" si="51"/>
        <v>#N/A</v>
      </c>
      <c r="AS85" s="156">
        <f t="shared" si="52"/>
        <v>0</v>
      </c>
      <c r="AT85" s="156" t="e">
        <f t="shared" si="60"/>
        <v>#N/A</v>
      </c>
    </row>
    <row r="86" spans="2:46" x14ac:dyDescent="0.35">
      <c r="B86" s="151" t="s">
        <v>21</v>
      </c>
      <c r="C86" s="152">
        <f>EOMONTH(CONCATENATE("01.","01.",$B$76),9)</f>
        <v>1400</v>
      </c>
      <c r="D86" s="153">
        <f t="shared" si="53"/>
        <v>0</v>
      </c>
      <c r="E86" s="153">
        <f t="shared" si="54"/>
        <v>0</v>
      </c>
      <c r="F86" s="153">
        <f t="shared" si="55"/>
        <v>0</v>
      </c>
      <c r="G86" s="154">
        <f t="shared" si="56"/>
        <v>0</v>
      </c>
      <c r="H86" s="155" t="str">
        <f t="shared" ref="H86:H88" si="61">IF(AND(SUM(D86:F86)=30,F86&gt;0),$N$38*$N$42,IF(AND(SUM(D86:F86)=30,E86&gt;0),$L$38*$L$42,IF(AND(SUM(D86:F86)=30,D86&gt;0),$J$38*$J$42,"")))</f>
        <v/>
      </c>
      <c r="I86" s="156">
        <f t="shared" si="35"/>
        <v>0</v>
      </c>
      <c r="J86" s="155">
        <v>0</v>
      </c>
      <c r="K86" s="156" t="e">
        <f>IF(G86&gt;=Bmg2Jahr4,AGHBTR_Jahr4,IF('HR-DM (U3,U4,U5AUF)'!G86&gt;=Bmg1Jahr4,(RvBeitrJahr4*G86)+(AvBeitrJahr4*G86)+(U2UmlJahr4*G86)+HBetrKVJahr4+HBetrPVJahr4,AGBTR_Jahr4*G86))</f>
        <v>#N/A</v>
      </c>
      <c r="L86" s="156" t="e">
        <f t="shared" si="36"/>
        <v>#N/A</v>
      </c>
      <c r="M86" s="156">
        <f t="shared" si="37"/>
        <v>0</v>
      </c>
      <c r="N86" s="156" t="e">
        <f t="shared" si="57"/>
        <v>#N/A</v>
      </c>
      <c r="O86" s="157"/>
      <c r="P86" s="667" t="s">
        <v>21</v>
      </c>
      <c r="Q86" s="668"/>
      <c r="R86" s="152">
        <f>EOMONTH(CONCATENATE("01.","01.",$P$76),9)</f>
        <v>1766</v>
      </c>
      <c r="S86" s="153">
        <f t="shared" si="58"/>
        <v>0</v>
      </c>
      <c r="T86" s="153">
        <f t="shared" si="59"/>
        <v>0</v>
      </c>
      <c r="U86" s="153">
        <f t="shared" si="38"/>
        <v>0</v>
      </c>
      <c r="V86" s="677">
        <f t="shared" si="39"/>
        <v>0</v>
      </c>
      <c r="W86" s="678"/>
      <c r="X86" s="155" t="str">
        <f t="shared" si="40"/>
        <v/>
      </c>
      <c r="Y86" s="156">
        <f t="shared" si="41"/>
        <v>0</v>
      </c>
      <c r="Z86" s="155">
        <v>0</v>
      </c>
      <c r="AA86" s="156" t="e">
        <f>IF(V86&gt;=Bmg2Jahr5,AGHBTR_Jahr5,IF('HR-DM (U3,U4,U5AUF)'!V86&gt;=Bmg1Jahr5,(RvBeitrJahr5*V86)+(AvBeitrJahr5*V86)+(U2UmlJahr5*V86)+HBetrKVJahr5+HBetrPVJahr5,AGBTR_Jahr5*V86))</f>
        <v>#N/A</v>
      </c>
      <c r="AB86" s="156" t="e">
        <f t="shared" si="42"/>
        <v>#N/A</v>
      </c>
      <c r="AC86" s="156">
        <f t="shared" si="43"/>
        <v>0</v>
      </c>
      <c r="AD86" s="156" t="e">
        <f t="shared" si="44"/>
        <v>#N/A</v>
      </c>
      <c r="AE86" s="158"/>
      <c r="AF86" s="667" t="s">
        <v>21</v>
      </c>
      <c r="AG86" s="668"/>
      <c r="AH86" s="152">
        <f>EOMONTH(CONCATENATE("01.","01.",$AF$76),9)</f>
        <v>2131</v>
      </c>
      <c r="AI86" s="153">
        <f t="shared" si="45"/>
        <v>0</v>
      </c>
      <c r="AJ86" s="153">
        <f t="shared" si="46"/>
        <v>0</v>
      </c>
      <c r="AK86" s="153">
        <f t="shared" si="47"/>
        <v>0</v>
      </c>
      <c r="AL86" s="677">
        <f t="shared" si="48"/>
        <v>0</v>
      </c>
      <c r="AM86" s="678"/>
      <c r="AN86" s="155" t="str">
        <f t="shared" si="49"/>
        <v/>
      </c>
      <c r="AO86" s="156">
        <f t="shared" si="50"/>
        <v>0</v>
      </c>
      <c r="AP86" s="155">
        <v>0</v>
      </c>
      <c r="AQ86" s="156" t="e">
        <f>IF(AL86&gt;=Bmg2Jahr6,AGHBTR_Jahr6,IF('HR-DM (U3,U4,U5AUF)'!AL86&gt;=Bmg1Jahr6,(RvBeitrJahr6*AL86)+(AvBeitrJahr6*AL86)+(U2UmlJahr6*AL86)+HBetrKVJahr6+HBetrPVJahr6,AGBTR_Jahr6*AL86))</f>
        <v>#N/A</v>
      </c>
      <c r="AR86" s="156" t="e">
        <f t="shared" si="51"/>
        <v>#N/A</v>
      </c>
      <c r="AS86" s="156">
        <f t="shared" si="52"/>
        <v>0</v>
      </c>
      <c r="AT86" s="156" t="e">
        <f t="shared" si="60"/>
        <v>#N/A</v>
      </c>
    </row>
    <row r="87" spans="2:46" x14ac:dyDescent="0.35">
      <c r="B87" s="151" t="s">
        <v>22</v>
      </c>
      <c r="C87" s="152">
        <f>EOMONTH(CONCATENATE("01.","01.",$B$76),10)</f>
        <v>1430</v>
      </c>
      <c r="D87" s="153">
        <f t="shared" si="53"/>
        <v>0</v>
      </c>
      <c r="E87" s="153">
        <f t="shared" si="54"/>
        <v>0</v>
      </c>
      <c r="F87" s="153">
        <f t="shared" si="55"/>
        <v>0</v>
      </c>
      <c r="G87" s="154">
        <f t="shared" si="56"/>
        <v>0</v>
      </c>
      <c r="H87" s="155" t="str">
        <f t="shared" si="61"/>
        <v/>
      </c>
      <c r="I87" s="156">
        <f t="shared" si="35"/>
        <v>0</v>
      </c>
      <c r="J87" s="155">
        <f>IFERROR(IF(J43="ja",H90,IF($X$6=TRUE,H90,0)),0)</f>
        <v>0</v>
      </c>
      <c r="K87" s="156" t="e">
        <f>IF((G87)&gt;=Bmg2Jahr4,AGHBTR_Jahr4,IF((G87)&gt;=Bmg1Jahr4,(RvBeitrJahr4*(G87+J87))+(AvBeitrJahr4*(G87+J87))+(U2UmlJahr4*(G87+J87))+HBetrKVJahr4+HBetrPVJahr4,AGBTR_Jahr4*(G87+J87)))</f>
        <v>#N/A</v>
      </c>
      <c r="L87" s="156" t="e">
        <f t="shared" si="36"/>
        <v>#N/A</v>
      </c>
      <c r="M87" s="156">
        <f t="shared" si="37"/>
        <v>0</v>
      </c>
      <c r="N87" s="156" t="e">
        <f t="shared" si="57"/>
        <v>#N/A</v>
      </c>
      <c r="O87" s="157"/>
      <c r="P87" s="667" t="s">
        <v>22</v>
      </c>
      <c r="Q87" s="668"/>
      <c r="R87" s="152">
        <f>EOMONTH(CONCATENATE("01.","01.",$P$76),10)</f>
        <v>1796</v>
      </c>
      <c r="S87" s="153">
        <f t="shared" si="58"/>
        <v>0</v>
      </c>
      <c r="T87" s="153">
        <f t="shared" si="59"/>
        <v>0</v>
      </c>
      <c r="U87" s="153">
        <f t="shared" si="38"/>
        <v>0</v>
      </c>
      <c r="V87" s="677">
        <f t="shared" si="39"/>
        <v>0</v>
      </c>
      <c r="W87" s="678"/>
      <c r="X87" s="155" t="str">
        <f t="shared" si="40"/>
        <v/>
      </c>
      <c r="Y87" s="156">
        <f t="shared" si="41"/>
        <v>0</v>
      </c>
      <c r="Z87" s="155">
        <f>IFERROR(IF(P43="ja",X90,IF($X$6=TRUE,X90,0)),0)</f>
        <v>0</v>
      </c>
      <c r="AA87" s="156" t="e">
        <f>IF((V87)&gt;=Bmg2Jahr5,AGHBTR_Jahr5,IF((V87)&gt;=Bmg1Jahr5,(RvBeitrJahr5*(V87+Z87))+(AvBeitrJahr5*(V87+Z87))+(U2UmlJahr5*(V87+Z87))+HBetrKVJahr5+HBetrPVJahr5,AGBTR_Jahr5*(V87+Z87)))</f>
        <v>#N/A</v>
      </c>
      <c r="AB87" s="156" t="e">
        <f t="shared" si="42"/>
        <v>#N/A</v>
      </c>
      <c r="AC87" s="156">
        <f t="shared" si="43"/>
        <v>0</v>
      </c>
      <c r="AD87" s="156" t="e">
        <f t="shared" si="44"/>
        <v>#N/A</v>
      </c>
      <c r="AE87" s="158"/>
      <c r="AF87" s="667" t="s">
        <v>22</v>
      </c>
      <c r="AG87" s="668"/>
      <c r="AH87" s="152">
        <f>EOMONTH(CONCATENATE("01.","01.",$AF$76),10)</f>
        <v>2161</v>
      </c>
      <c r="AI87" s="153">
        <f t="shared" si="45"/>
        <v>0</v>
      </c>
      <c r="AJ87" s="153">
        <f t="shared" si="46"/>
        <v>0</v>
      </c>
      <c r="AK87" s="153">
        <f t="shared" si="47"/>
        <v>0</v>
      </c>
      <c r="AL87" s="677">
        <f t="shared" si="48"/>
        <v>0</v>
      </c>
      <c r="AM87" s="678"/>
      <c r="AN87" s="155" t="str">
        <f t="shared" si="49"/>
        <v/>
      </c>
      <c r="AO87" s="156">
        <f t="shared" si="50"/>
        <v>0</v>
      </c>
      <c r="AP87" s="155">
        <f>IFERROR(IF(AB43="ja",AN90,IF($X$6=TRUE,AN90,0)),0)</f>
        <v>0</v>
      </c>
      <c r="AQ87" s="156" t="e">
        <f>IF((AL87)&gt;=Bmg2Jahr6,AGHBTR_Jahr6,IF((AL87)&gt;=Bmg1Jahr6,(RvBeitrJahr6*(AL87+AP87))+(AvBeitrJahr6*(AL87+AP87))+(U2UmlJahr6*(AL87+AP87))+HBetrKVJahr6+HBetrPVJahr6,AGBTR_Jahr6*(AL87+AP87)))</f>
        <v>#N/A</v>
      </c>
      <c r="AR87" s="156" t="e">
        <f t="shared" si="51"/>
        <v>#N/A</v>
      </c>
      <c r="AS87" s="156">
        <f t="shared" si="52"/>
        <v>0</v>
      </c>
      <c r="AT87" s="156" t="e">
        <f t="shared" si="60"/>
        <v>#N/A</v>
      </c>
    </row>
    <row r="88" spans="2:46" x14ac:dyDescent="0.35">
      <c r="B88" s="151" t="s">
        <v>23</v>
      </c>
      <c r="C88" s="152">
        <f>EOMONTH(CONCATENATE("01.","01.",$B$76),11)</f>
        <v>1461</v>
      </c>
      <c r="D88" s="153">
        <f t="shared" si="53"/>
        <v>0</v>
      </c>
      <c r="E88" s="153">
        <f t="shared" si="54"/>
        <v>0</v>
      </c>
      <c r="F88" s="153">
        <f t="shared" si="55"/>
        <v>0</v>
      </c>
      <c r="G88" s="154">
        <f t="shared" si="56"/>
        <v>0</v>
      </c>
      <c r="H88" s="155" t="str">
        <f t="shared" si="61"/>
        <v/>
      </c>
      <c r="I88" s="156">
        <f t="shared" si="35"/>
        <v>0</v>
      </c>
      <c r="J88" s="155">
        <v>0</v>
      </c>
      <c r="K88" s="156" t="e">
        <f>IF(G88&gt;=Bmg2Jahr4,AGHBTR_Jahr4,IF('HR-DM (U3,U4,U5AUF)'!G88&gt;=Bmg1Jahr4,(RvBeitrJahr4*G88)+(AvBeitrJahr4*G88)+(U2UmlJahr4*G88)+HBetrKVJahr4+HBetrPVJahr4,AGBTR_Jahr4*G88))</f>
        <v>#N/A</v>
      </c>
      <c r="L88" s="156" t="e">
        <f t="shared" si="36"/>
        <v>#N/A</v>
      </c>
      <c r="M88" s="156">
        <f t="shared" si="37"/>
        <v>0</v>
      </c>
      <c r="N88" s="156" t="e">
        <f t="shared" si="57"/>
        <v>#N/A</v>
      </c>
      <c r="O88" s="157"/>
      <c r="P88" s="667" t="s">
        <v>23</v>
      </c>
      <c r="Q88" s="668"/>
      <c r="R88" s="152">
        <f>EOMONTH(CONCATENATE("01.","01.",$P$76),11)</f>
        <v>1827</v>
      </c>
      <c r="S88" s="153">
        <f t="shared" si="58"/>
        <v>0</v>
      </c>
      <c r="T88" s="153">
        <f t="shared" si="59"/>
        <v>0</v>
      </c>
      <c r="U88" s="153">
        <f t="shared" si="38"/>
        <v>0</v>
      </c>
      <c r="V88" s="677">
        <f t="shared" si="39"/>
        <v>0</v>
      </c>
      <c r="W88" s="678"/>
      <c r="X88" s="155" t="str">
        <f t="shared" si="40"/>
        <v/>
      </c>
      <c r="Y88" s="156">
        <f t="shared" si="41"/>
        <v>0</v>
      </c>
      <c r="Z88" s="155">
        <v>0</v>
      </c>
      <c r="AA88" s="156" t="e">
        <f>IF(V88&gt;=Bmg2Jahr5,AGHBTR_Jahr5,IF('HR-DM (U3,U4,U5AUF)'!V88&gt;=Bmg1Jahr5,(RvBeitrJahr5*V88)+(AvBeitrJahr5*V88)+(U2UmlJahr5*V88)+HBetrKVJahr5+HBetrPVJahr5,AGBTR_Jahr5*V88))</f>
        <v>#N/A</v>
      </c>
      <c r="AB88" s="156" t="e">
        <f t="shared" si="42"/>
        <v>#N/A</v>
      </c>
      <c r="AC88" s="156">
        <f t="shared" si="43"/>
        <v>0</v>
      </c>
      <c r="AD88" s="156" t="e">
        <f t="shared" si="44"/>
        <v>#N/A</v>
      </c>
      <c r="AE88" s="158"/>
      <c r="AF88" s="667" t="s">
        <v>23</v>
      </c>
      <c r="AG88" s="668"/>
      <c r="AH88" s="152">
        <f>EOMONTH(CONCATENATE("01.","01.",$AF$76),11)</f>
        <v>2192</v>
      </c>
      <c r="AI88" s="153">
        <f t="shared" si="45"/>
        <v>0</v>
      </c>
      <c r="AJ88" s="153">
        <f t="shared" si="46"/>
        <v>0</v>
      </c>
      <c r="AK88" s="153">
        <f t="shared" si="47"/>
        <v>0</v>
      </c>
      <c r="AL88" s="677">
        <f t="shared" si="48"/>
        <v>0</v>
      </c>
      <c r="AM88" s="678"/>
      <c r="AN88" s="155" t="str">
        <f t="shared" si="49"/>
        <v/>
      </c>
      <c r="AO88" s="156">
        <f t="shared" si="50"/>
        <v>0</v>
      </c>
      <c r="AP88" s="155">
        <v>0</v>
      </c>
      <c r="AQ88" s="156" t="e">
        <f>IF(AL88&gt;=Bmg2Jahr6,AGHBTR_Jahr6,IF('HR-DM (U3,U4,U5AUF)'!AL88&gt;=Bmg1Jahr6,(RvBeitrJahr6*AL88)+(AvBeitrJahr6*AL88)+(U2UmlJahr6*AL88)+HBetrKVJahr6+HBetrPVJahr6,AGBTR_Jahr6*AL88))</f>
        <v>#N/A</v>
      </c>
      <c r="AR88" s="156" t="e">
        <f t="shared" si="51"/>
        <v>#N/A</v>
      </c>
      <c r="AS88" s="156">
        <f t="shared" si="52"/>
        <v>0</v>
      </c>
      <c r="AT88" s="156" t="e">
        <f t="shared" si="60"/>
        <v>#N/A</v>
      </c>
    </row>
    <row r="89" spans="2:46" ht="16.5" thickBot="1" x14ac:dyDescent="0.4">
      <c r="B89" s="187" t="s">
        <v>24</v>
      </c>
      <c r="C89" s="187"/>
      <c r="D89" s="187"/>
      <c r="E89" s="187"/>
      <c r="F89" s="187"/>
      <c r="G89" s="188">
        <f>SUM(G77:G88)</f>
        <v>0</v>
      </c>
      <c r="H89" s="189"/>
      <c r="I89" s="189">
        <f t="shared" ref="I89:N89" si="62">SUM(I77:I88)</f>
        <v>0</v>
      </c>
      <c r="J89" s="189">
        <f t="shared" si="62"/>
        <v>0</v>
      </c>
      <c r="K89" s="189" t="e">
        <f t="shared" si="62"/>
        <v>#N/A</v>
      </c>
      <c r="L89" s="189" t="e">
        <f t="shared" si="62"/>
        <v>#N/A</v>
      </c>
      <c r="M89" s="189">
        <f t="shared" si="62"/>
        <v>0</v>
      </c>
      <c r="N89" s="189" t="e">
        <f t="shared" si="62"/>
        <v>#N/A</v>
      </c>
      <c r="O89" s="157"/>
      <c r="P89" s="765" t="s">
        <v>24</v>
      </c>
      <c r="Q89" s="766"/>
      <c r="R89" s="190"/>
      <c r="S89" s="190"/>
      <c r="T89" s="190"/>
      <c r="U89" s="190"/>
      <c r="V89" s="763">
        <f>SUM(V77:V88)</f>
        <v>0</v>
      </c>
      <c r="W89" s="764"/>
      <c r="X89" s="191"/>
      <c r="Y89" s="191">
        <f t="shared" ref="Y89:AD89" si="63">SUM(Y77:Y88)</f>
        <v>0</v>
      </c>
      <c r="Z89" s="191">
        <f t="shared" si="63"/>
        <v>0</v>
      </c>
      <c r="AA89" s="191" t="e">
        <f t="shared" si="63"/>
        <v>#N/A</v>
      </c>
      <c r="AB89" s="191" t="e">
        <f t="shared" si="63"/>
        <v>#N/A</v>
      </c>
      <c r="AC89" s="191">
        <f t="shared" si="63"/>
        <v>0</v>
      </c>
      <c r="AD89" s="191" t="e">
        <f t="shared" si="63"/>
        <v>#N/A</v>
      </c>
      <c r="AE89" s="158"/>
      <c r="AF89" s="759" t="s">
        <v>24</v>
      </c>
      <c r="AG89" s="760"/>
      <c r="AH89" s="192"/>
      <c r="AI89" s="192"/>
      <c r="AJ89" s="192"/>
      <c r="AK89" s="192"/>
      <c r="AL89" s="761">
        <f>SUM(AL77:AL88)</f>
        <v>0</v>
      </c>
      <c r="AM89" s="762"/>
      <c r="AN89" s="193"/>
      <c r="AO89" s="193">
        <f t="shared" ref="AO89:AT89" si="64">SUM(AO77:AO88)</f>
        <v>0</v>
      </c>
      <c r="AP89" s="193">
        <f t="shared" si="64"/>
        <v>0</v>
      </c>
      <c r="AQ89" s="193" t="e">
        <f t="shared" si="64"/>
        <v>#N/A</v>
      </c>
      <c r="AR89" s="193" t="e">
        <f t="shared" si="64"/>
        <v>#N/A</v>
      </c>
      <c r="AS89" s="193">
        <f t="shared" si="64"/>
        <v>0</v>
      </c>
      <c r="AT89" s="193" t="e">
        <f t="shared" si="64"/>
        <v>#N/A</v>
      </c>
    </row>
    <row r="90" spans="2:46" ht="16.5" thickBot="1" x14ac:dyDescent="0.4">
      <c r="B90" s="137"/>
      <c r="C90" s="137"/>
      <c r="D90" s="137"/>
      <c r="E90" s="137"/>
      <c r="F90" s="137"/>
      <c r="G90" s="166" t="s">
        <v>25</v>
      </c>
      <c r="H90" s="167" t="e">
        <f>IF(AND(J43="ja",$X$6=TRUE),(AVERAGE(H83:H88))/12*COUNTIFS(G77:G88,"&gt;0"),IF(AND($X$6=TRUE,J43="nein"),(AVERAGE(H77:H88)/12)*COUNTIFS(G77:G88,"&gt;0"),IF(AND(OR($X$6="",$X$6=FALSE),J43="ja"),(AVERAGE(H83:H88))/12*COUNTIFS(G77:G88,"&gt;0"),0)))</f>
        <v>#DIV/0!</v>
      </c>
      <c r="I90" s="167"/>
      <c r="J90" s="168">
        <f>IF(J87=0,0,J87/COUNTIFS(G77:G88,"&gt;0"))</f>
        <v>0</v>
      </c>
      <c r="V90" s="685" t="s">
        <v>25</v>
      </c>
      <c r="W90" s="686"/>
      <c r="X90" s="167" t="e">
        <f>IF(AND(P43="ja",$X$6=TRUE),(AVERAGE(X83:X88))/12*COUNTIFS(V77:W88,"&gt;0"),IF(AND($X$6=TRUE,P43="nein"),(AVERAGE(X77:X88)/12)*COUNTIFS(V77:W88,"&gt;0"),IF(AND(OR($X$6="",$X$6=FALSE),P43="ja"),(AVERAGE(X83:X88))/12*COUNTIFS(V77:W88,"&gt;0"),0)))</f>
        <v>#DIV/0!</v>
      </c>
      <c r="Y90" s="167"/>
      <c r="Z90" s="168">
        <f>IF(Z87=0,0,Z87/COUNTIFS(V77:W88,"&gt;0"))</f>
        <v>0</v>
      </c>
      <c r="AL90" s="685" t="s">
        <v>25</v>
      </c>
      <c r="AM90" s="686"/>
      <c r="AN90" s="167" t="e">
        <f>IF(AND(AB43="ja",$X$6=TRUE),(AVERAGE(AN83:AN88))/12*COUNTIFS(AL77:AM88,"&gt;0"),IF(AND($X$6=TRUE,AB43="nein"),(AVERAGE(AN77:AN88)/12)*COUNTIFS(AL77:AM88,"&gt;0"),IF(AND(OR($X$6="",$X$6=FALSE),AB43="ja"),(AVERAGE(AN83:AN88))/12*COUNTIFS(AL77:AM88,"&gt;0"),0)))</f>
        <v>#DIV/0!</v>
      </c>
      <c r="AO90" s="167"/>
      <c r="AP90" s="168">
        <f>IF(AP87=0,0,AP87/COUNTIFS(AL77:AM88,"&gt;0"))</f>
        <v>0</v>
      </c>
    </row>
    <row r="91" spans="2:46" x14ac:dyDescent="0.35">
      <c r="Q91" s="138"/>
      <c r="R91" s="138"/>
      <c r="S91" s="138"/>
      <c r="T91" s="138"/>
      <c r="U91" s="138"/>
    </row>
    <row r="92" spans="2:46" ht="16.5" hidden="1" outlineLevel="1" thickBot="1" x14ac:dyDescent="0.4">
      <c r="B92" s="169" t="s">
        <v>107</v>
      </c>
      <c r="C92" s="169"/>
      <c r="D92" s="169"/>
      <c r="E92" s="169"/>
      <c r="F92" s="169"/>
      <c r="G92" s="170">
        <f>IFERROR((SUM(G77:G88)/COUNTIFS(G77:G88,"&gt;0")),0)</f>
        <v>0</v>
      </c>
      <c r="H92" s="171">
        <f>IFERROR((SUM(H78:H89)/COUNTIFS(H78:H89,"&gt;0")),0)</f>
        <v>0</v>
      </c>
      <c r="I92" s="171"/>
      <c r="J92" s="171">
        <f>IFERROR((SUM(J77:J88)/COUNTIFS(J77:J88,"&gt;0")),0)</f>
        <v>0</v>
      </c>
      <c r="K92" s="171">
        <f t="shared" ref="K92:N92" si="65">IFERROR((SUM(K77:K88)/COUNTIFS(K77:K88,"&gt;0")),0)</f>
        <v>0</v>
      </c>
      <c r="L92" s="171">
        <f t="shared" si="65"/>
        <v>0</v>
      </c>
      <c r="M92" s="171">
        <f t="shared" si="65"/>
        <v>0</v>
      </c>
      <c r="N92" s="171">
        <f t="shared" si="65"/>
        <v>0</v>
      </c>
      <c r="O92" s="149"/>
      <c r="P92" s="681" t="s">
        <v>103</v>
      </c>
      <c r="Q92" s="682"/>
      <c r="R92" s="172"/>
      <c r="S92" s="172"/>
      <c r="T92" s="172"/>
      <c r="U92" s="172"/>
      <c r="V92" s="683">
        <f>IFERROR((SUM(V77:W88)/COUNTIFS(V77:W88,"&gt;0")),0)</f>
        <v>0</v>
      </c>
      <c r="W92" s="684"/>
      <c r="X92" s="173" t="e">
        <f>IF($AD$8="ja",((AVERAGE(X78:X89))/12)*COUNTIFS(V78:W89,"&gt;0"),((AVERAGE(X84:X89))/12)*COUNTIFS(V78:W89,"&gt;0"))</f>
        <v>#DIV/0!</v>
      </c>
      <c r="Y92" s="173"/>
      <c r="Z92" s="171">
        <f>IFERROR((SUM(Z77:Z88)/COUNTIFS(Z77:Z88,"&gt;0")),0)</f>
        <v>0</v>
      </c>
      <c r="AA92" s="171">
        <f t="shared" ref="AA92:AD92" si="66">IFERROR((SUM(AA77:AA88)/COUNTIFS(AA77:AA88,"&gt;0")),0)</f>
        <v>0</v>
      </c>
      <c r="AB92" s="171">
        <f t="shared" si="66"/>
        <v>0</v>
      </c>
      <c r="AC92" s="171">
        <f t="shared" si="66"/>
        <v>0</v>
      </c>
      <c r="AD92" s="171">
        <f t="shared" si="66"/>
        <v>0</v>
      </c>
      <c r="AF92" s="681" t="s">
        <v>103</v>
      </c>
      <c r="AG92" s="682"/>
      <c r="AH92" s="172"/>
      <c r="AI92" s="172"/>
      <c r="AJ92" s="172"/>
      <c r="AK92" s="172"/>
      <c r="AL92" s="683">
        <f>IFERROR((SUM(AL77:AM88)/COUNTIFS(AL77:AM88,"&gt;0")),0)</f>
        <v>0</v>
      </c>
      <c r="AM92" s="684"/>
      <c r="AN92" s="173" t="e">
        <f>IF($AD$8="ja",((AVERAGE(AN78:AN89))/12)*COUNTIFS(AL78:AM89,"&gt;0"),((AVERAGE(AN84:AN89))/12)*COUNTIFS(AL78:AM89,"&gt;0"))</f>
        <v>#DIV/0!</v>
      </c>
      <c r="AO92" s="173"/>
      <c r="AP92" s="171">
        <f>IFERROR((SUM(AP77:AP88)/COUNTIFS(AP77:AP88,"&gt;0")),0)</f>
        <v>0</v>
      </c>
      <c r="AQ92" s="171">
        <f t="shared" ref="AQ92:AT92" si="67">IFERROR((SUM(AQ77:AQ88)/COUNTIFS(AQ77:AQ88,"&gt;0")),0)</f>
        <v>0</v>
      </c>
      <c r="AR92" s="171">
        <f t="shared" si="67"/>
        <v>0</v>
      </c>
      <c r="AS92" s="171">
        <f t="shared" si="67"/>
        <v>0</v>
      </c>
      <c r="AT92" s="171">
        <f t="shared" si="67"/>
        <v>0</v>
      </c>
    </row>
    <row r="93" spans="2:46" collapsed="1" x14ac:dyDescent="0.35"/>
    <row r="96" spans="2:46" ht="45.75" customHeight="1" thickBot="1" x14ac:dyDescent="0.4">
      <c r="B96" s="666" t="s">
        <v>178</v>
      </c>
      <c r="C96" s="666"/>
      <c r="D96" s="666"/>
      <c r="E96" s="666"/>
      <c r="F96" s="666"/>
      <c r="G96" s="666"/>
      <c r="H96" s="666"/>
      <c r="I96" s="666"/>
      <c r="J96" s="666"/>
      <c r="K96" s="666"/>
      <c r="L96" s="666"/>
      <c r="P96" s="691" t="s">
        <v>26</v>
      </c>
      <c r="Q96" s="691"/>
      <c r="R96" s="691"/>
      <c r="S96" s="691"/>
      <c r="T96" s="691"/>
      <c r="U96" s="691"/>
      <c r="V96" s="691"/>
      <c r="W96" s="691"/>
      <c r="X96" s="204"/>
      <c r="Y96" s="204"/>
      <c r="Z96" s="690" t="e">
        <f>AD89+N89+AD69+N69+AT69+AT89</f>
        <v>#N/A</v>
      </c>
      <c r="AA96" s="690"/>
      <c r="AB96" s="690"/>
      <c r="AC96" s="690"/>
    </row>
    <row r="97" spans="26:32" ht="16.5" thickTop="1" x14ac:dyDescent="0.35"/>
    <row r="99" spans="26:32" ht="19.5" customHeight="1" x14ac:dyDescent="0.35"/>
    <row r="103" spans="26:32" ht="42.75" customHeight="1" outlineLevel="2" thickBot="1" x14ac:dyDescent="0.4">
      <c r="Z103" s="88" t="s">
        <v>112</v>
      </c>
      <c r="AB103" s="194"/>
      <c r="AC103" s="194"/>
      <c r="AD103" s="194"/>
      <c r="AE103" s="194"/>
      <c r="AF103" s="194"/>
    </row>
    <row r="104" spans="26:32" ht="45" customHeight="1" outlineLevel="2" x14ac:dyDescent="0.35">
      <c r="Z104" s="195">
        <f>J20</f>
        <v>1900</v>
      </c>
      <c r="AA104" s="196">
        <f>Z104+1</f>
        <v>1901</v>
      </c>
      <c r="AB104" s="197">
        <f>AA104+1</f>
        <v>1902</v>
      </c>
      <c r="AC104" s="198">
        <f>AB104+1</f>
        <v>1903</v>
      </c>
      <c r="AD104" s="199">
        <f>AC104+1</f>
        <v>1904</v>
      </c>
      <c r="AE104" s="200">
        <f>AD104+1</f>
        <v>1905</v>
      </c>
    </row>
    <row r="105" spans="26:32" ht="39" customHeight="1" outlineLevel="2" thickBot="1" x14ac:dyDescent="0.4">
      <c r="Z105" s="201" t="e">
        <f>N69</f>
        <v>#VALUE!</v>
      </c>
      <c r="AA105" s="202" t="e">
        <f>AD69</f>
        <v>#N/A</v>
      </c>
      <c r="AB105" s="202" t="e">
        <f>AT69</f>
        <v>#N/A</v>
      </c>
      <c r="AC105" s="202" t="e">
        <f>N89</f>
        <v>#N/A</v>
      </c>
      <c r="AD105" s="202" t="e">
        <f>AD89</f>
        <v>#N/A</v>
      </c>
      <c r="AE105" s="203" t="e">
        <f>AT89</f>
        <v>#N/A</v>
      </c>
    </row>
    <row r="106" spans="26:32" outlineLevel="2" x14ac:dyDescent="0.35"/>
  </sheetData>
  <sheetProtection formatCells="0" formatColumns="0" formatRows="0" insertColumns="0" insertRows="0" insertHyperlinks="0" deleteColumns="0" deleteRows="0" sort="0" autoFilter="0" pivotTables="0"/>
  <mergeCells count="299">
    <mergeCell ref="W21:Y21"/>
    <mergeCell ref="V24:Y24"/>
    <mergeCell ref="W35:Y35"/>
    <mergeCell ref="W36:Y36"/>
    <mergeCell ref="V38:Y38"/>
    <mergeCell ref="V39:Y39"/>
    <mergeCell ref="V40:Y40"/>
    <mergeCell ref="V41:Y41"/>
    <mergeCell ref="V42:Y42"/>
    <mergeCell ref="I5:K5"/>
    <mergeCell ref="I6:K6"/>
    <mergeCell ref="AD24:AE24"/>
    <mergeCell ref="AF24:AG24"/>
    <mergeCell ref="AB25:AC25"/>
    <mergeCell ref="AD25:AE25"/>
    <mergeCell ref="AF25:AG25"/>
    <mergeCell ref="AB26:AC26"/>
    <mergeCell ref="AD26:AE26"/>
    <mergeCell ref="J20:O20"/>
    <mergeCell ref="P20:AA20"/>
    <mergeCell ref="N24:O24"/>
    <mergeCell ref="P24:Q24"/>
    <mergeCell ref="Z24:AA24"/>
    <mergeCell ref="Z25:AA25"/>
    <mergeCell ref="J26:K26"/>
    <mergeCell ref="L26:M26"/>
    <mergeCell ref="N26:O26"/>
    <mergeCell ref="P25:Q25"/>
    <mergeCell ref="W22:Y22"/>
    <mergeCell ref="P26:Q26"/>
    <mergeCell ref="Z26:AA26"/>
    <mergeCell ref="V25:Y25"/>
    <mergeCell ref="V26:Y26"/>
    <mergeCell ref="AF26:AG26"/>
    <mergeCell ref="AD27:AE27"/>
    <mergeCell ref="AB27:AC27"/>
    <mergeCell ref="AD30:AE30"/>
    <mergeCell ref="AB30:AC30"/>
    <mergeCell ref="AD28:AE28"/>
    <mergeCell ref="AB28:AC28"/>
    <mergeCell ref="AB31:AC31"/>
    <mergeCell ref="AF31:AG31"/>
    <mergeCell ref="AF30:AG30"/>
    <mergeCell ref="AB29:AG29"/>
    <mergeCell ref="AF28:AG28"/>
    <mergeCell ref="AF27:AG27"/>
    <mergeCell ref="V58:W58"/>
    <mergeCell ref="AD42:AE42"/>
    <mergeCell ref="AB32:AC32"/>
    <mergeCell ref="AB20:AG20"/>
    <mergeCell ref="AB24:AC24"/>
    <mergeCell ref="P92:Q92"/>
    <mergeCell ref="V92:W92"/>
    <mergeCell ref="AF92:AG92"/>
    <mergeCell ref="Z28:AA28"/>
    <mergeCell ref="Z41:AA41"/>
    <mergeCell ref="P77:Q77"/>
    <mergeCell ref="V77:W77"/>
    <mergeCell ref="V66:W66"/>
    <mergeCell ref="V67:W67"/>
    <mergeCell ref="V68:W68"/>
    <mergeCell ref="V69:W69"/>
    <mergeCell ref="V59:W59"/>
    <mergeCell ref="V60:W60"/>
    <mergeCell ref="P56:Q56"/>
    <mergeCell ref="P57:Q57"/>
    <mergeCell ref="AF78:AG78"/>
    <mergeCell ref="AF77:AG77"/>
    <mergeCell ref="AD46:AE46"/>
    <mergeCell ref="AF76:AG76"/>
    <mergeCell ref="AL92:AM92"/>
    <mergeCell ref="AD45:AE45"/>
    <mergeCell ref="AF45:AG45"/>
    <mergeCell ref="P65:Q65"/>
    <mergeCell ref="Z45:AA45"/>
    <mergeCell ref="AF46:AG46"/>
    <mergeCell ref="AL88:AM88"/>
    <mergeCell ref="AF89:AG89"/>
    <mergeCell ref="AL89:AM89"/>
    <mergeCell ref="AL90:AM90"/>
    <mergeCell ref="V90:W90"/>
    <mergeCell ref="V89:W89"/>
    <mergeCell ref="P88:Q88"/>
    <mergeCell ref="P89:Q89"/>
    <mergeCell ref="V88:W88"/>
    <mergeCell ref="V79:W79"/>
    <mergeCell ref="P75:Q75"/>
    <mergeCell ref="V75:W75"/>
    <mergeCell ref="P63:Q63"/>
    <mergeCell ref="AL55:AM55"/>
    <mergeCell ref="AF59:AG59"/>
    <mergeCell ref="AF58:AG58"/>
    <mergeCell ref="P58:Q58"/>
    <mergeCell ref="P59:Q59"/>
    <mergeCell ref="J29:O29"/>
    <mergeCell ref="L28:M28"/>
    <mergeCell ref="N28:O28"/>
    <mergeCell ref="Z30:AA30"/>
    <mergeCell ref="Z27:AA27"/>
    <mergeCell ref="J28:K28"/>
    <mergeCell ref="L32:M32"/>
    <mergeCell ref="J46:K46"/>
    <mergeCell ref="L46:M46"/>
    <mergeCell ref="N46:O46"/>
    <mergeCell ref="P46:Q46"/>
    <mergeCell ref="J45:K45"/>
    <mergeCell ref="L45:M45"/>
    <mergeCell ref="Z44:AA44"/>
    <mergeCell ref="Z46:AA46"/>
    <mergeCell ref="V46:Y46"/>
    <mergeCell ref="V27:Y27"/>
    <mergeCell ref="V28:Y28"/>
    <mergeCell ref="V30:Y30"/>
    <mergeCell ref="V32:Y32"/>
    <mergeCell ref="V31:Y31"/>
    <mergeCell ref="V44:Y44"/>
    <mergeCell ref="V45:Y45"/>
    <mergeCell ref="J44:K44"/>
    <mergeCell ref="P60:Q60"/>
    <mergeCell ref="V56:W56"/>
    <mergeCell ref="V57:W57"/>
    <mergeCell ref="AB44:AC44"/>
    <mergeCell ref="AD44:AE44"/>
    <mergeCell ref="AB46:AC46"/>
    <mergeCell ref="P55:Q55"/>
    <mergeCell ref="J39:K39"/>
    <mergeCell ref="L39:M39"/>
    <mergeCell ref="N39:O39"/>
    <mergeCell ref="P41:Q41"/>
    <mergeCell ref="Z42:AA42"/>
    <mergeCell ref="P40:Q40"/>
    <mergeCell ref="Z39:AA39"/>
    <mergeCell ref="P39:Q39"/>
    <mergeCell ref="J43:O43"/>
    <mergeCell ref="P43:AA43"/>
    <mergeCell ref="L40:M40"/>
    <mergeCell ref="N40:O40"/>
    <mergeCell ref="L41:M41"/>
    <mergeCell ref="N41:O41"/>
    <mergeCell ref="J42:K42"/>
    <mergeCell ref="L42:M42"/>
    <mergeCell ref="J41:K41"/>
    <mergeCell ref="J27:K27"/>
    <mergeCell ref="L27:M27"/>
    <mergeCell ref="N27:O27"/>
    <mergeCell ref="P31:Q31"/>
    <mergeCell ref="N31:O31"/>
    <mergeCell ref="J40:K40"/>
    <mergeCell ref="L38:M38"/>
    <mergeCell ref="N38:O38"/>
    <mergeCell ref="N32:O32"/>
    <mergeCell ref="P32:Q32"/>
    <mergeCell ref="P28:Q28"/>
    <mergeCell ref="P38:Q38"/>
    <mergeCell ref="P29:AA29"/>
    <mergeCell ref="Z38:AA38"/>
    <mergeCell ref="Z32:AA32"/>
    <mergeCell ref="P27:Q27"/>
    <mergeCell ref="J34:O34"/>
    <mergeCell ref="P34:AA34"/>
    <mergeCell ref="J30:K30"/>
    <mergeCell ref="L30:M30"/>
    <mergeCell ref="N30:O30"/>
    <mergeCell ref="P30:Q30"/>
    <mergeCell ref="J31:K31"/>
    <mergeCell ref="Z40:AA40"/>
    <mergeCell ref="Z31:AA31"/>
    <mergeCell ref="J32:K32"/>
    <mergeCell ref="AD40:AE40"/>
    <mergeCell ref="AB39:AC39"/>
    <mergeCell ref="AF39:AG39"/>
    <mergeCell ref="L31:M31"/>
    <mergeCell ref="AD31:AE31"/>
    <mergeCell ref="AL56:AM56"/>
    <mergeCell ref="N45:O45"/>
    <mergeCell ref="P45:Q45"/>
    <mergeCell ref="V55:W55"/>
    <mergeCell ref="J38:K38"/>
    <mergeCell ref="L44:M44"/>
    <mergeCell ref="N44:O44"/>
    <mergeCell ref="P44:Q44"/>
    <mergeCell ref="P42:Q42"/>
    <mergeCell ref="N42:O42"/>
    <mergeCell ref="AL57:AM57"/>
    <mergeCell ref="AL58:AM58"/>
    <mergeCell ref="AL59:AM59"/>
    <mergeCell ref="AL60:AM60"/>
    <mergeCell ref="AF38:AG38"/>
    <mergeCell ref="AD32:AE32"/>
    <mergeCell ref="AF32:AG32"/>
    <mergeCell ref="AB34:AG34"/>
    <mergeCell ref="AB43:AG43"/>
    <mergeCell ref="AB45:AC45"/>
    <mergeCell ref="AB42:AC42"/>
    <mergeCell ref="AB41:AC41"/>
    <mergeCell ref="AB40:AC40"/>
    <mergeCell ref="AF57:AG57"/>
    <mergeCell ref="AF56:AG56"/>
    <mergeCell ref="AF55:AG55"/>
    <mergeCell ref="AB38:AC38"/>
    <mergeCell ref="AF40:AG40"/>
    <mergeCell ref="AD39:AE39"/>
    <mergeCell ref="AD41:AE41"/>
    <mergeCell ref="AF60:AG60"/>
    <mergeCell ref="AF44:AG44"/>
    <mergeCell ref="AF42:AG42"/>
    <mergeCell ref="AF41:AG41"/>
    <mergeCell ref="AF88:AG88"/>
    <mergeCell ref="AF86:AG86"/>
    <mergeCell ref="AD38:AE38"/>
    <mergeCell ref="AF81:AG81"/>
    <mergeCell ref="AL68:AM68"/>
    <mergeCell ref="AL69:AM69"/>
    <mergeCell ref="AL70:AM70"/>
    <mergeCell ref="AL76:AM76"/>
    <mergeCell ref="AL75:AM75"/>
    <mergeCell ref="AL72:AM72"/>
    <mergeCell ref="AL87:AM87"/>
    <mergeCell ref="AF82:AG82"/>
    <mergeCell ref="AL82:AM82"/>
    <mergeCell ref="AF83:AG83"/>
    <mergeCell ref="AL83:AM83"/>
    <mergeCell ref="AF84:AG84"/>
    <mergeCell ref="AL84:AM84"/>
    <mergeCell ref="AF85:AG85"/>
    <mergeCell ref="AL85:AM85"/>
    <mergeCell ref="AL78:AM78"/>
    <mergeCell ref="AF79:AG79"/>
    <mergeCell ref="AL79:AM79"/>
    <mergeCell ref="AF80:AG80"/>
    <mergeCell ref="AF68:AG68"/>
    <mergeCell ref="AL86:AM86"/>
    <mergeCell ref="AF87:AG87"/>
    <mergeCell ref="V82:W82"/>
    <mergeCell ref="V83:W83"/>
    <mergeCell ref="V84:W84"/>
    <mergeCell ref="V85:W85"/>
    <mergeCell ref="V86:W86"/>
    <mergeCell ref="V87:W87"/>
    <mergeCell ref="V80:W80"/>
    <mergeCell ref="AL80:AM80"/>
    <mergeCell ref="AL81:AM81"/>
    <mergeCell ref="V81:W81"/>
    <mergeCell ref="V61:W61"/>
    <mergeCell ref="V62:W62"/>
    <mergeCell ref="V63:W63"/>
    <mergeCell ref="V64:W64"/>
    <mergeCell ref="V65:W65"/>
    <mergeCell ref="AL77:AM77"/>
    <mergeCell ref="AF72:AG72"/>
    <mergeCell ref="AF69:AG69"/>
    <mergeCell ref="AL66:AM66"/>
    <mergeCell ref="AL67:AM67"/>
    <mergeCell ref="AL61:AM61"/>
    <mergeCell ref="AL62:AM62"/>
    <mergeCell ref="AL63:AM63"/>
    <mergeCell ref="AL64:AM64"/>
    <mergeCell ref="AL65:AM65"/>
    <mergeCell ref="AF75:AG75"/>
    <mergeCell ref="AF67:AG67"/>
    <mergeCell ref="AF66:AG66"/>
    <mergeCell ref="AF65:AG65"/>
    <mergeCell ref="AF64:AG64"/>
    <mergeCell ref="AF63:AG63"/>
    <mergeCell ref="AF62:AG62"/>
    <mergeCell ref="AF61:AG61"/>
    <mergeCell ref="P72:Q72"/>
    <mergeCell ref="V72:W72"/>
    <mergeCell ref="V70:W70"/>
    <mergeCell ref="P76:Q76"/>
    <mergeCell ref="V76:W76"/>
    <mergeCell ref="Z96:AC96"/>
    <mergeCell ref="P96:W96"/>
    <mergeCell ref="P85:Q85"/>
    <mergeCell ref="P86:Q86"/>
    <mergeCell ref="AL5:AN5"/>
    <mergeCell ref="AL6:AN6"/>
    <mergeCell ref="B96:L96"/>
    <mergeCell ref="P80:Q80"/>
    <mergeCell ref="P84:Q84"/>
    <mergeCell ref="P83:Q83"/>
    <mergeCell ref="P82:Q82"/>
    <mergeCell ref="P81:Q81"/>
    <mergeCell ref="P87:Q87"/>
    <mergeCell ref="P61:Q61"/>
    <mergeCell ref="P62:Q62"/>
    <mergeCell ref="P64:Q64"/>
    <mergeCell ref="P79:Q79"/>
    <mergeCell ref="J24:K24"/>
    <mergeCell ref="L24:M24"/>
    <mergeCell ref="J25:K25"/>
    <mergeCell ref="L25:M25"/>
    <mergeCell ref="N25:O25"/>
    <mergeCell ref="P78:Q78"/>
    <mergeCell ref="V78:W78"/>
    <mergeCell ref="P66:Q66"/>
    <mergeCell ref="P67:Q67"/>
    <mergeCell ref="P68:Q68"/>
    <mergeCell ref="P69:Q69"/>
  </mergeCells>
  <conditionalFormatting sqref="M6">
    <cfRule type="expression" dxfId="66" priority="24">
      <formula>ISBLANK($M$6)</formula>
    </cfRule>
    <cfRule type="expression" dxfId="65" priority="25">
      <formula>ISBLANK($M$6)</formula>
    </cfRule>
  </conditionalFormatting>
  <conditionalFormatting sqref="N6">
    <cfRule type="expression" dxfId="64" priority="23">
      <formula>ISBLANK($N$6)</formula>
    </cfRule>
  </conditionalFormatting>
  <conditionalFormatting sqref="P6">
    <cfRule type="expression" dxfId="63" priority="21">
      <formula>ISBLANK($P$6)</formula>
    </cfRule>
  </conditionalFormatting>
  <conditionalFormatting sqref="Q6">
    <cfRule type="expression" dxfId="62" priority="20">
      <formula>ISBLANK($Q$6)</formula>
    </cfRule>
  </conditionalFormatting>
  <conditionalFormatting sqref="V6">
    <cfRule type="expression" dxfId="61" priority="19">
      <formula>ISBLANK($V$6)</formula>
    </cfRule>
  </conditionalFormatting>
  <conditionalFormatting sqref="W6">
    <cfRule type="expression" dxfId="60" priority="18">
      <formula>ISBLANK($W$6)</formula>
    </cfRule>
  </conditionalFormatting>
  <conditionalFormatting sqref="O8">
    <cfRule type="expression" dxfId="59" priority="9">
      <formula>ISBLANK($O$8)</formula>
    </cfRule>
  </conditionalFormatting>
  <conditionalFormatting sqref="AD45:AE45 AD31:AE31 L31:M31 L45:M45">
    <cfRule type="cellIs" dxfId="58" priority="4" operator="equal">
      <formula>0</formula>
    </cfRule>
  </conditionalFormatting>
  <conditionalFormatting sqref="V31">
    <cfRule type="cellIs" dxfId="57" priority="3" operator="equal">
      <formula>0</formula>
    </cfRule>
  </conditionalFormatting>
  <conditionalFormatting sqref="O10">
    <cfRule type="expression" dxfId="56" priority="2">
      <formula>ISBLANK($O$8)</formula>
    </cfRule>
  </conditionalFormatting>
  <conditionalFormatting sqref="V45">
    <cfRule type="cellIs" dxfId="55" priority="1" operator="equal">
      <formula>0</formula>
    </cfRule>
  </conditionalFormatting>
  <dataValidations count="5">
    <dataValidation type="date" allowBlank="1" showInputMessage="1" showErrorMessage="1" sqref="R36:U36 X36:AA36 AF36:AG36 N36:O36" xr:uid="{00000000-0002-0000-0000-000000000000}">
      <formula1>36526</formula1>
      <formula2>2958465</formula2>
    </dataValidation>
    <dataValidation type="date" allowBlank="1" showInputMessage="1" showErrorMessage="1" sqref="V6:V7 M6:N7 R22:U22 AF22:AG22 N22:O22 J22 Z22:AA22" xr:uid="{00000000-0002-0000-0000-000001000000}">
      <formula1>36526</formula1>
      <formula2>401768</formula2>
    </dataValidation>
    <dataValidation errorStyle="warning" operator="lessThan" allowBlank="1" showInputMessage="1" showErrorMessage="1" sqref="W6:W7 W9" xr:uid="{00000000-0002-0000-0000-000002000000}"/>
    <dataValidation type="whole" operator="lessThan" allowBlank="1" showInputMessage="1" showErrorMessage="1" sqref="W11" xr:uid="{00000000-0002-0000-0000-000003000000}">
      <formula1>101</formula1>
    </dataValidation>
    <dataValidation operator="lessThan" allowBlank="1" showInputMessage="1" showErrorMessage="1" sqref="Z10 W8" xr:uid="{6D66369A-EF03-4358-AFFD-08FE867154F3}"/>
  </dataValidations>
  <printOptions horizontalCentered="1"/>
  <pageMargins left="0.7" right="0.7" top="0.75" bottom="0.75" header="0.3" footer="0.3"/>
  <pageSetup paperSize="9" scale="30" orientation="landscape" r:id="rId1"/>
  <headerFooter>
    <oddHeader xml:space="preserve">&amp;L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38" r:id="rId4" name="Check Box 14">
              <controlPr defaultSize="0" autoFill="0" autoLine="0" autoPict="0" altText="kalkulatoriche Tariferhöhung berücksichtigen">
                <anchor moveWithCells="1">
                  <from>
                    <xdr:col>27</xdr:col>
                    <xdr:colOff>400050</xdr:colOff>
                    <xdr:row>4</xdr:row>
                    <xdr:rowOff>66675</xdr:rowOff>
                  </from>
                  <to>
                    <xdr:col>29</xdr:col>
                    <xdr:colOff>171450</xdr:colOff>
                    <xdr:row>4</xdr:row>
                    <xdr:rowOff>571500</xdr:rowOff>
                  </to>
                </anchor>
              </controlPr>
            </control>
          </mc:Choice>
        </mc:AlternateContent>
        <mc:AlternateContent xmlns:mc="http://schemas.openxmlformats.org/markup-compatibility/2006">
          <mc:Choice Requires="x14">
            <control shapeId="1063" r:id="rId5" name="Check Box 39">
              <controlPr defaultSize="0" autoFill="0" autoLine="0" autoPict="0" altText="unbefristet Beschäftigt">
                <anchor moveWithCells="1">
                  <from>
                    <xdr:col>25</xdr:col>
                    <xdr:colOff>333375</xdr:colOff>
                    <xdr:row>5</xdr:row>
                    <xdr:rowOff>133350</xdr:rowOff>
                  </from>
                  <to>
                    <xdr:col>27</xdr:col>
                    <xdr:colOff>95250</xdr:colOff>
                    <xdr:row>10</xdr:row>
                    <xdr:rowOff>66675</xdr:rowOff>
                  </to>
                </anchor>
              </controlPr>
            </control>
          </mc:Choice>
        </mc:AlternateContent>
        <mc:AlternateContent xmlns:mc="http://schemas.openxmlformats.org/markup-compatibility/2006">
          <mc:Choice Requires="x14">
            <control shapeId="1065" r:id="rId6" name="Check Box 41">
              <controlPr defaultSize="0" autoFill="0" autoLine="0" autoPict="0" altText="Einmalzahlung (EZ)">
                <anchor moveWithCells="1">
                  <from>
                    <xdr:col>27</xdr:col>
                    <xdr:colOff>419100</xdr:colOff>
                    <xdr:row>5</xdr:row>
                    <xdr:rowOff>133350</xdr:rowOff>
                  </from>
                  <to>
                    <xdr:col>29</xdr:col>
                    <xdr:colOff>180975</xdr:colOff>
                    <xdr:row>10</xdr:row>
                    <xdr:rowOff>57150</xdr:rowOff>
                  </to>
                </anchor>
              </controlPr>
            </control>
          </mc:Choice>
        </mc:AlternateContent>
        <mc:AlternateContent xmlns:mc="http://schemas.openxmlformats.org/markup-compatibility/2006">
          <mc:Choice Requires="x14">
            <control shapeId="1066" r:id="rId7" name="Check Box 42">
              <controlPr defaultSize="0" autoFill="0" autoLine="0" autoPict="0" altText="Anteilige JSZ berechnen_x000a_">
                <anchor moveWithCells="1">
                  <from>
                    <xdr:col>25</xdr:col>
                    <xdr:colOff>323850</xdr:colOff>
                    <xdr:row>4</xdr:row>
                    <xdr:rowOff>66675</xdr:rowOff>
                  </from>
                  <to>
                    <xdr:col>27</xdr:col>
                    <xdr:colOff>95250</xdr:colOff>
                    <xdr:row>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'DROP DOWN'!$H$3:$H$9</xm:f>
          </x14:formula1>
          <xm:sqref>N26:O26 N40:O40 Z26:AA26 AF26:AG26 AF40:AG40 Z40:AA40 R6:R7 Q6</xm:sqref>
        </x14:dataValidation>
        <x14:dataValidation type="list" allowBlank="1" showInputMessage="1" showErrorMessage="1" xr:uid="{00000000-0002-0000-0000-000005000000}">
          <x14:formula1>
            <xm:f>'DROP DOWN'!$G$3:$G$22</xm:f>
          </x14:formula1>
          <xm:sqref>N25:O25 P6:P7 Z25:AA25 AF25:AG25 Z39:AA39 AF39:AG39 N39:O39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3C4FE-8303-49CE-B02B-FE2F036F25C2}">
  <sheetPr codeName="Tabelle5">
    <tabColor theme="6" tint="0.39997558519241921"/>
    <pageSetUpPr fitToPage="1"/>
  </sheetPr>
  <dimension ref="B1:AT106"/>
  <sheetViews>
    <sheetView showGridLines="0" view="pageBreakPreview" zoomScale="55" zoomScaleNormal="70" zoomScaleSheetLayoutView="55" workbookViewId="0">
      <pane ySplit="18" topLeftCell="A38" activePane="bottomLeft" state="frozen"/>
      <selection activeCell="AR64" sqref="AR64"/>
      <selection pane="bottomLeft" activeCell="G8" sqref="G8"/>
    </sheetView>
  </sheetViews>
  <sheetFormatPr baseColWidth="10" defaultColWidth="11.42578125" defaultRowHeight="15.75" outlineLevelRow="2" outlineLevelCol="1" x14ac:dyDescent="0.35"/>
  <cols>
    <col min="1" max="1" width="5.7109375" style="58" customWidth="1"/>
    <col min="2" max="2" width="20.140625" style="58" customWidth="1"/>
    <col min="3" max="3" width="25.140625" style="58" hidden="1" customWidth="1" outlineLevel="1"/>
    <col min="4" max="5" width="12.7109375" style="58" hidden="1" customWidth="1" outlineLevel="1"/>
    <col min="6" max="6" width="11.5703125" style="58" hidden="1" customWidth="1" outlineLevel="1"/>
    <col min="7" max="7" width="28.85546875" style="58" customWidth="1" collapsed="1"/>
    <col min="8" max="8" width="21.7109375" style="58" hidden="1" customWidth="1" outlineLevel="1"/>
    <col min="9" max="9" width="13.42578125" style="58" customWidth="1" collapsed="1"/>
    <col min="10" max="11" width="13.42578125" style="58" customWidth="1"/>
    <col min="12" max="12" width="13.85546875" style="58" customWidth="1"/>
    <col min="13" max="14" width="13.42578125" style="58" customWidth="1"/>
    <col min="15" max="15" width="15.140625" style="58" customWidth="1"/>
    <col min="16" max="16" width="14.7109375" style="58" customWidth="1"/>
    <col min="17" max="17" width="13.42578125" style="58" customWidth="1"/>
    <col min="18" max="21" width="12.7109375" style="58" hidden="1" customWidth="1" outlineLevel="1"/>
    <col min="22" max="22" width="15.28515625" style="58" customWidth="1" collapsed="1"/>
    <col min="23" max="23" width="12.28515625" style="58" customWidth="1"/>
    <col min="24" max="24" width="12.7109375" style="58" hidden="1" customWidth="1" outlineLevel="1"/>
    <col min="25" max="25" width="10.7109375" style="58" customWidth="1" collapsed="1"/>
    <col min="26" max="33" width="13.42578125" style="58" customWidth="1"/>
    <col min="34" max="34" width="18" style="58" hidden="1" customWidth="1" outlineLevel="1"/>
    <col min="35" max="37" width="14.140625" style="58" hidden="1" customWidth="1" outlineLevel="1"/>
    <col min="38" max="38" width="13.42578125" style="58" customWidth="1" collapsed="1"/>
    <col min="39" max="39" width="13.42578125" style="58" customWidth="1"/>
    <col min="40" max="40" width="13.7109375" style="58" hidden="1" customWidth="1" outlineLevel="1"/>
    <col min="41" max="41" width="13.7109375" style="58" customWidth="1" collapsed="1"/>
    <col min="42" max="46" width="13.42578125" style="58" customWidth="1"/>
    <col min="47" max="16384" width="11.42578125" style="58"/>
  </cols>
  <sheetData>
    <row r="1" spans="2:43" ht="27.75" customHeight="1" x14ac:dyDescent="0.35">
      <c r="G1" s="59"/>
    </row>
    <row r="2" spans="2:43" ht="31.5" x14ac:dyDescent="0.6">
      <c r="B2" s="323" t="s">
        <v>98</v>
      </c>
      <c r="G2" s="60"/>
      <c r="L2" s="61"/>
      <c r="P2" s="61"/>
      <c r="R2" s="61"/>
      <c r="S2" s="61"/>
      <c r="T2" s="61"/>
      <c r="U2" s="61"/>
      <c r="V2" s="61"/>
      <c r="W2" s="61"/>
      <c r="X2" s="62"/>
      <c r="Y2" s="62"/>
      <c r="AC2" s="63"/>
    </row>
    <row r="3" spans="2:43" x14ac:dyDescent="0.35">
      <c r="B3" s="375" t="str">
        <f>'HR-DM (U3,U4,U5AUF)'!B3</f>
        <v>Stand: 03.06.2026 (BITTE AKTUELLE VERSION NUTZEN - ZURZEIT VERSION V06)</v>
      </c>
      <c r="L3" s="61"/>
      <c r="P3" s="61"/>
      <c r="R3" s="61"/>
      <c r="S3" s="61"/>
      <c r="T3" s="61"/>
      <c r="U3" s="61"/>
      <c r="V3" s="61"/>
      <c r="W3" s="61"/>
      <c r="X3" s="62"/>
      <c r="Y3" s="62"/>
      <c r="AC3" s="63"/>
    </row>
    <row r="4" spans="2:43" ht="39" customHeight="1" thickBot="1" x14ac:dyDescent="0.5">
      <c r="B4" s="326" t="s">
        <v>175</v>
      </c>
      <c r="L4" s="62"/>
      <c r="P4" s="61"/>
      <c r="Q4" s="61"/>
      <c r="R4" s="61"/>
      <c r="S4" s="61"/>
      <c r="T4" s="61"/>
      <c r="U4" s="61"/>
      <c r="V4" s="61"/>
      <c r="W4" s="61"/>
      <c r="X4" s="62"/>
      <c r="Y4" s="62"/>
    </row>
    <row r="5" spans="2:43" s="72" customFormat="1" ht="45.95" customHeight="1" thickBot="1" x14ac:dyDescent="0.4">
      <c r="B5" s="65" t="s">
        <v>119</v>
      </c>
      <c r="C5" s="66"/>
      <c r="D5" s="66"/>
      <c r="E5" s="67"/>
      <c r="F5" s="67"/>
      <c r="G5" s="68" t="s">
        <v>116</v>
      </c>
      <c r="H5" s="68"/>
      <c r="I5" s="779" t="s">
        <v>113</v>
      </c>
      <c r="J5" s="780"/>
      <c r="K5" s="781"/>
      <c r="L5" s="68" t="s">
        <v>121</v>
      </c>
      <c r="M5" s="68" t="s">
        <v>86</v>
      </c>
      <c r="N5" s="68" t="s">
        <v>87</v>
      </c>
      <c r="O5" s="68" t="s">
        <v>160</v>
      </c>
      <c r="P5" s="68" t="s">
        <v>109</v>
      </c>
      <c r="Q5" s="68" t="s">
        <v>115</v>
      </c>
      <c r="R5" s="69"/>
      <c r="S5" s="69"/>
      <c r="T5" s="69"/>
      <c r="U5" s="70"/>
      <c r="V5" s="68" t="s">
        <v>174</v>
      </c>
      <c r="W5" s="71" t="s">
        <v>167</v>
      </c>
      <c r="X5" s="72" t="b">
        <f>'HR-DM (U3,U4,U5AUF)'!X5</f>
        <v>1</v>
      </c>
      <c r="AA5" s="73"/>
      <c r="AB5" s="74"/>
      <c r="AC5" s="74"/>
      <c r="AD5" s="58"/>
      <c r="AE5" s="660" t="s">
        <v>125</v>
      </c>
      <c r="AF5" s="661"/>
      <c r="AG5" s="662"/>
    </row>
    <row r="6" spans="2:43" ht="45.95" customHeight="1" thickBot="1" x14ac:dyDescent="0.4">
      <c r="B6" s="208"/>
      <c r="C6" s="75"/>
      <c r="D6" s="75"/>
      <c r="E6" s="76"/>
      <c r="F6" s="76"/>
      <c r="G6" s="77"/>
      <c r="H6" s="75"/>
      <c r="I6" s="782">
        <f>PKHR_für_Tarifpersonal!$C$8</f>
        <v>0</v>
      </c>
      <c r="J6" s="783"/>
      <c r="K6" s="784"/>
      <c r="L6" s="318"/>
      <c r="M6" s="207">
        <f>PKHR_für_Tarifpersonal!$C$11</f>
        <v>0</v>
      </c>
      <c r="N6" s="207">
        <f>PKHR_für_Tarifpersonal!$D$11</f>
        <v>0</v>
      </c>
      <c r="O6" s="79">
        <f>O8*J30/100*O10/J30*100</f>
        <v>0</v>
      </c>
      <c r="P6" s="80" t="str">
        <f>PKHR_für_Tarifpersonal!$C$12</f>
        <v>Bitte auswählen</v>
      </c>
      <c r="Q6" s="80" t="str">
        <f>PKHR_für_Tarifpersonal!$C$13</f>
        <v>Bitte auswählen</v>
      </c>
      <c r="R6" s="80"/>
      <c r="S6" s="78"/>
      <c r="T6" s="78"/>
      <c r="U6" s="78"/>
      <c r="V6" s="207" t="e">
        <f>PKHR_für_Tarifpersonal!$C$14</f>
        <v>#VALUE!</v>
      </c>
      <c r="W6" s="446">
        <v>0</v>
      </c>
      <c r="X6" s="61" t="b">
        <v>0</v>
      </c>
      <c r="Y6" s="61"/>
      <c r="Z6" s="61"/>
      <c r="AA6" s="73"/>
      <c r="AB6" s="81"/>
      <c r="AC6" s="81"/>
      <c r="AE6" s="663"/>
      <c r="AF6" s="664"/>
      <c r="AG6" s="665"/>
      <c r="AN6" s="82"/>
      <c r="AO6" s="82"/>
      <c r="AP6" s="82"/>
      <c r="AQ6" s="82"/>
    </row>
    <row r="7" spans="2:43" ht="29.45" customHeight="1" outlineLevel="1" thickBot="1" x14ac:dyDescent="0.4">
      <c r="B7" s="83"/>
      <c r="C7" s="82"/>
      <c r="D7" s="82"/>
      <c r="E7" s="82"/>
      <c r="F7" s="82"/>
      <c r="J7" s="84"/>
      <c r="N7" s="83"/>
      <c r="O7" s="379" t="s">
        <v>161</v>
      </c>
      <c r="P7" s="83"/>
      <c r="R7" s="83"/>
      <c r="S7" s="83"/>
      <c r="T7" s="83"/>
      <c r="U7" s="83"/>
      <c r="V7" s="83"/>
      <c r="W7" s="379" t="s">
        <v>165</v>
      </c>
      <c r="X7" s="61"/>
      <c r="Y7" s="61"/>
      <c r="Z7" s="61"/>
      <c r="AA7" s="73"/>
      <c r="AB7" s="81"/>
      <c r="AC7" s="81"/>
      <c r="AN7" s="82"/>
      <c r="AO7" s="82"/>
      <c r="AP7" s="82"/>
      <c r="AQ7" s="82"/>
    </row>
    <row r="8" spans="2:43" ht="25.15" customHeight="1" outlineLevel="1" thickBot="1" x14ac:dyDescent="0.4">
      <c r="B8" s="83"/>
      <c r="C8" s="82"/>
      <c r="D8" s="82"/>
      <c r="E8" s="82"/>
      <c r="F8" s="82"/>
      <c r="J8" s="84"/>
      <c r="N8" s="83"/>
      <c r="O8" s="380">
        <f>PKHR_für_Tarifpersonal!$C$17</f>
        <v>0</v>
      </c>
      <c r="W8" s="381">
        <f>IF(O8=0,J30,O8*J30/100*100)</f>
        <v>39</v>
      </c>
      <c r="X8" s="61" t="b">
        <v>0</v>
      </c>
      <c r="Y8" s="61"/>
      <c r="Z8" s="61"/>
      <c r="AA8" s="73"/>
      <c r="AB8" s="81"/>
      <c r="AC8" s="81"/>
      <c r="AN8" s="82"/>
      <c r="AO8" s="82"/>
      <c r="AP8" s="82"/>
      <c r="AQ8" s="82"/>
    </row>
    <row r="9" spans="2:43" ht="28.9" customHeight="1" outlineLevel="1" thickBot="1" x14ac:dyDescent="0.4">
      <c r="B9" s="83"/>
      <c r="C9" s="82"/>
      <c r="D9" s="82"/>
      <c r="E9" s="82"/>
      <c r="F9" s="82"/>
      <c r="J9" s="84"/>
      <c r="N9" s="83"/>
      <c r="O9" s="379" t="s">
        <v>162</v>
      </c>
      <c r="W9" s="379" t="s">
        <v>166</v>
      </c>
      <c r="X9" s="61" t="b">
        <f>'HR-DM (U3,U4,U5AUF)'!X9</f>
        <v>1</v>
      </c>
      <c r="Y9" s="61"/>
      <c r="Z9" s="61"/>
      <c r="AA9" s="73"/>
      <c r="AB9" s="81"/>
      <c r="AC9" s="81"/>
      <c r="AN9" s="82"/>
      <c r="AO9" s="82"/>
      <c r="AP9" s="82"/>
      <c r="AQ9" s="82"/>
    </row>
    <row r="10" spans="2:43" ht="32.450000000000003" customHeight="1" outlineLevel="1" thickBot="1" x14ac:dyDescent="0.4">
      <c r="B10" s="83"/>
      <c r="C10" s="82"/>
      <c r="D10" s="82"/>
      <c r="E10" s="82"/>
      <c r="F10" s="82"/>
      <c r="J10" s="84"/>
      <c r="N10" s="83"/>
      <c r="O10" s="380">
        <f>PKHR_für_Tarifpersonal!$C$18</f>
        <v>0</v>
      </c>
      <c r="W10" s="381">
        <f>IF(O10=0,O6*W8,W8*O10)</f>
        <v>0</v>
      </c>
      <c r="Z10" s="73"/>
      <c r="AA10" s="61"/>
      <c r="AB10" s="61"/>
      <c r="AN10" s="82"/>
      <c r="AO10" s="82"/>
      <c r="AP10" s="82"/>
      <c r="AQ10" s="82"/>
    </row>
    <row r="11" spans="2:43" ht="19.899999999999999" customHeight="1" x14ac:dyDescent="0.35">
      <c r="J11" s="84"/>
      <c r="N11" s="83"/>
      <c r="W11" s="61"/>
      <c r="X11" s="61"/>
      <c r="Y11" s="61"/>
      <c r="Z11" s="61"/>
      <c r="AA11" s="73"/>
      <c r="AB11" s="81"/>
      <c r="AC11" s="81"/>
      <c r="AN11" s="82"/>
      <c r="AO11" s="82"/>
      <c r="AP11" s="82"/>
      <c r="AQ11" s="82"/>
    </row>
    <row r="12" spans="2:43" hidden="1" outlineLevel="1" x14ac:dyDescent="0.35">
      <c r="B12" s="83"/>
      <c r="C12" s="82"/>
      <c r="D12" s="82"/>
      <c r="E12" s="82"/>
      <c r="F12" s="82"/>
      <c r="J12" s="84"/>
      <c r="N12" s="60"/>
      <c r="R12" s="85">
        <v>1</v>
      </c>
      <c r="S12" s="85" t="e">
        <f>IF($Q$6+R12&gt;6,"",$Q$6+R12)</f>
        <v>#VALUE!</v>
      </c>
      <c r="T12" s="86" t="str">
        <f>IFERROR(IF(IF($Q$6+R12&gt;6,0,DATE(YEAR(V6)+$Q$6+R12,MONTH(V6),DAY(V6)))&gt;$N$6,"01.01.1900",IF($Q$6+R12&gt;6,0,DATE(YEAR(V6)+$Q$6+R12,MONTH(V6),DAY(V6)))),"01.01.1900")</f>
        <v>01.01.1900</v>
      </c>
      <c r="W12" s="61"/>
      <c r="X12" s="61"/>
      <c r="Y12" s="61"/>
      <c r="Z12" s="61"/>
      <c r="AA12" s="87"/>
      <c r="AB12" s="82"/>
      <c r="AC12" s="82"/>
      <c r="AN12" s="82"/>
      <c r="AO12" s="82"/>
      <c r="AP12" s="82"/>
      <c r="AQ12" s="82"/>
    </row>
    <row r="13" spans="2:43" hidden="1" outlineLevel="1" x14ac:dyDescent="0.35">
      <c r="B13" s="83"/>
      <c r="C13" s="82"/>
      <c r="D13" s="82"/>
      <c r="E13" s="82"/>
      <c r="F13" s="82"/>
      <c r="J13" s="84"/>
      <c r="R13" s="85">
        <v>2</v>
      </c>
      <c r="S13" s="85" t="e">
        <f>IF($Q$6+R13&gt;6,"",$Q$6+R13)</f>
        <v>#VALUE!</v>
      </c>
      <c r="T13" s="86" t="e">
        <f>IF(IF($Q$6+R13&gt;6,0,DATE(YEAR(T12)+$Q$6+R13,MONTH(T12),DAY(T12)))&gt;N$6,"01.01.1900",IF($Q$6+R13&gt;6,0,DATE(YEAR(T12)+$Q$6+R13,MONTH(T12),DAY(T12))))</f>
        <v>#VALUE!</v>
      </c>
      <c r="W13" s="61"/>
      <c r="X13" s="61"/>
      <c r="Y13" s="61"/>
      <c r="Z13" s="61"/>
      <c r="AA13" s="87"/>
      <c r="AB13" s="82"/>
      <c r="AC13" s="82"/>
      <c r="AN13" s="82"/>
      <c r="AO13" s="82"/>
      <c r="AP13" s="82"/>
      <c r="AQ13" s="82"/>
    </row>
    <row r="14" spans="2:43" hidden="1" outlineLevel="1" x14ac:dyDescent="0.35">
      <c r="B14" s="83"/>
      <c r="C14" s="82"/>
      <c r="D14" s="82"/>
      <c r="E14" s="82"/>
      <c r="F14" s="82"/>
      <c r="J14" s="84"/>
      <c r="N14" s="60"/>
      <c r="R14" s="85">
        <v>3</v>
      </c>
      <c r="S14" s="85" t="e">
        <f>IF($Q$6+R14&gt;6,"",$Q$6+R14)</f>
        <v>#VALUE!</v>
      </c>
      <c r="T14" s="86" t="e">
        <f>IF(IF($Q$6+R14&gt;6,0,DATE(YEAR(T13)+$Q$6+R14,MONTH(T13),DAY(T13)))&gt;N$6,"01.01.1900",IF($Q$6+R14&gt;6,0,DATE(YEAR(T13)+$Q$6+R14,MONTH(T13),DAY(T13))))</f>
        <v>#VALUE!</v>
      </c>
      <c r="V14" s="60"/>
      <c r="W14" s="325"/>
      <c r="X14" s="61"/>
      <c r="Y14" s="61"/>
      <c r="Z14" s="61"/>
      <c r="AA14" s="87"/>
      <c r="AB14" s="82"/>
      <c r="AC14" s="82"/>
      <c r="AN14" s="82"/>
      <c r="AO14" s="82"/>
      <c r="AP14" s="82"/>
      <c r="AQ14" s="82"/>
    </row>
    <row r="15" spans="2:43" hidden="1" outlineLevel="1" x14ac:dyDescent="0.35">
      <c r="B15" s="83"/>
      <c r="C15" s="82"/>
      <c r="D15" s="82"/>
      <c r="E15" s="82"/>
      <c r="F15" s="82"/>
      <c r="J15" s="84"/>
      <c r="R15" s="85">
        <v>4</v>
      </c>
      <c r="S15" s="85" t="e">
        <f>IF($Q$6+R15&gt;6,"",$Q$6+R15)</f>
        <v>#VALUE!</v>
      </c>
      <c r="T15" s="86" t="e">
        <f>IF(IF($Q$6+R15&gt;6,0,DATE(YEAR(T14)+$Q$6+R15,MONTH(T14),DAY(T14)))&gt;N$6,"01.01.1900",IF($Q$6+R15&gt;6,0,DATE(YEAR(T14)+$Q$6+R15,MONTH(T14),DAY(T14))))</f>
        <v>#VALUE!</v>
      </c>
      <c r="W15" s="325"/>
      <c r="X15" s="61"/>
      <c r="Y15" s="61"/>
      <c r="Z15" s="61"/>
      <c r="AA15" s="87"/>
      <c r="AB15" s="82"/>
      <c r="AC15" s="82"/>
      <c r="AN15" s="82"/>
      <c r="AO15" s="82"/>
      <c r="AP15" s="82"/>
      <c r="AQ15" s="82"/>
    </row>
    <row r="16" spans="2:43" hidden="1" outlineLevel="1" x14ac:dyDescent="0.35">
      <c r="B16" s="64"/>
      <c r="J16" s="84"/>
      <c r="K16" s="88"/>
      <c r="L16" s="89"/>
      <c r="M16" s="90"/>
      <c r="N16" s="90"/>
      <c r="O16" s="90"/>
      <c r="P16" s="90"/>
      <c r="Q16" s="90"/>
      <c r="R16" s="91">
        <v>5</v>
      </c>
      <c r="S16" s="85" t="e">
        <f>IF($Q$6+R16&gt;6,"",$Q$6+R16)</f>
        <v>#VALUE!</v>
      </c>
      <c r="T16" s="86" t="e">
        <f>IF(IF($Q$6+R16&gt;6,0,DATE(YEAR(T15)+$Q$6+R16,MONTH(T15),DAY(T15)))&gt;N$6,"01.01.1900",IF($Q$6+R16&gt;6,0,DATE(YEAR(T15)+$Q$6+R16,MONTH(T15),DAY(T15))))</f>
        <v>#VALUE!</v>
      </c>
      <c r="U16" s="61"/>
      <c r="V16" s="61"/>
      <c r="W16" s="61"/>
      <c r="X16" s="62"/>
      <c r="Y16" s="62"/>
      <c r="Z16" s="87"/>
      <c r="AA16" s="82"/>
      <c r="AB16" s="82"/>
      <c r="AM16" s="82"/>
      <c r="AN16" s="82"/>
      <c r="AO16" s="82"/>
      <c r="AP16" s="82"/>
    </row>
    <row r="17" spans="2:46" hidden="1" outlineLevel="1" x14ac:dyDescent="0.35">
      <c r="B17" s="64"/>
      <c r="J17" s="84"/>
      <c r="K17" s="88"/>
      <c r="L17" s="89"/>
      <c r="M17" s="90"/>
      <c r="N17" s="90"/>
      <c r="O17" s="90"/>
      <c r="P17" s="90"/>
      <c r="Q17" s="90"/>
      <c r="R17" s="61"/>
      <c r="S17" s="61"/>
      <c r="T17" s="61"/>
      <c r="U17" s="61"/>
      <c r="V17" s="61"/>
      <c r="W17" s="61"/>
      <c r="X17" s="62"/>
      <c r="Y17" s="62"/>
      <c r="Z17" s="87"/>
      <c r="AA17" s="82"/>
      <c r="AB17" s="82"/>
      <c r="AM17" s="82"/>
      <c r="AN17" s="82"/>
      <c r="AO17" s="82"/>
      <c r="AP17" s="82"/>
    </row>
    <row r="18" spans="2:46" ht="22.5" customHeight="1" collapsed="1" x14ac:dyDescent="0.35">
      <c r="B18" s="209"/>
      <c r="J18" s="84"/>
      <c r="K18" s="88"/>
      <c r="L18" s="89"/>
      <c r="M18" s="90"/>
      <c r="N18" s="90"/>
      <c r="O18" s="90"/>
      <c r="P18" s="90"/>
      <c r="Q18" s="90"/>
      <c r="R18" s="61"/>
      <c r="S18" s="61"/>
      <c r="T18" s="61"/>
      <c r="U18" s="61"/>
      <c r="V18" s="61"/>
      <c r="W18" s="61"/>
      <c r="X18" s="62"/>
      <c r="Y18" s="62"/>
      <c r="Z18" s="87"/>
      <c r="AA18" s="82"/>
      <c r="AB18" s="82"/>
      <c r="AM18" s="82"/>
      <c r="AN18" s="82"/>
      <c r="AO18" s="82"/>
      <c r="AP18" s="82"/>
    </row>
    <row r="19" spans="2:46" ht="16.5" thickBot="1" x14ac:dyDescent="0.4">
      <c r="J19" s="84"/>
      <c r="K19" s="62"/>
      <c r="L19" s="62"/>
      <c r="M19" s="62"/>
      <c r="N19" s="84"/>
      <c r="O19" s="62"/>
      <c r="P19" s="62"/>
      <c r="Q19" s="62"/>
      <c r="R19" s="62"/>
      <c r="S19" s="62"/>
      <c r="T19" s="62"/>
      <c r="U19" s="62"/>
      <c r="V19" s="62"/>
      <c r="W19" s="62"/>
      <c r="X19" s="62"/>
      <c r="Y19" s="62"/>
      <c r="AS19" s="92"/>
      <c r="AT19" s="82"/>
    </row>
    <row r="20" spans="2:46" ht="25.5" customHeight="1" thickBot="1" x14ac:dyDescent="0.4">
      <c r="J20" s="787">
        <f>YEAR(M6)</f>
        <v>1900</v>
      </c>
      <c r="K20" s="788"/>
      <c r="L20" s="788"/>
      <c r="M20" s="788"/>
      <c r="N20" s="788"/>
      <c r="O20" s="789"/>
      <c r="P20" s="790">
        <f>J20+1</f>
        <v>1901</v>
      </c>
      <c r="Q20" s="791"/>
      <c r="R20" s="791"/>
      <c r="S20" s="791"/>
      <c r="T20" s="791"/>
      <c r="U20" s="791"/>
      <c r="V20" s="791"/>
      <c r="W20" s="791"/>
      <c r="X20" s="791"/>
      <c r="Y20" s="791"/>
      <c r="Z20" s="791"/>
      <c r="AA20" s="792"/>
      <c r="AB20" s="772">
        <f>P20+1</f>
        <v>1902</v>
      </c>
      <c r="AC20" s="773"/>
      <c r="AD20" s="773"/>
      <c r="AE20" s="773"/>
      <c r="AF20" s="773"/>
      <c r="AG20" s="774"/>
      <c r="AR20" s="82"/>
      <c r="AS20" s="82"/>
      <c r="AT20" s="82"/>
    </row>
    <row r="21" spans="2:46" ht="16.5" thickBot="1" x14ac:dyDescent="0.4">
      <c r="B21" s="93"/>
      <c r="C21" s="94"/>
      <c r="D21" s="94"/>
      <c r="E21" s="94"/>
      <c r="F21" s="94"/>
      <c r="G21" s="94"/>
      <c r="H21" s="96"/>
      <c r="I21" s="95"/>
      <c r="J21" s="97" t="s">
        <v>0</v>
      </c>
      <c r="K21" s="98" t="s">
        <v>1</v>
      </c>
      <c r="L21" s="97" t="s">
        <v>0</v>
      </c>
      <c r="M21" s="98" t="s">
        <v>1</v>
      </c>
      <c r="N21" s="97" t="s">
        <v>0</v>
      </c>
      <c r="O21" s="98" t="s">
        <v>1</v>
      </c>
      <c r="P21" s="99" t="s">
        <v>0</v>
      </c>
      <c r="Q21" s="100" t="s">
        <v>1</v>
      </c>
      <c r="R21" s="101"/>
      <c r="S21" s="101"/>
      <c r="T21" s="101"/>
      <c r="U21" s="101"/>
      <c r="V21" s="443" t="s">
        <v>0</v>
      </c>
      <c r="W21" s="797" t="s">
        <v>1</v>
      </c>
      <c r="X21" s="797"/>
      <c r="Y21" s="798"/>
      <c r="Z21" s="99" t="s">
        <v>0</v>
      </c>
      <c r="AA21" s="100" t="s">
        <v>1</v>
      </c>
      <c r="AB21" s="102" t="s">
        <v>0</v>
      </c>
      <c r="AC21" s="103" t="s">
        <v>1</v>
      </c>
      <c r="AD21" s="102" t="s">
        <v>0</v>
      </c>
      <c r="AE21" s="103" t="s">
        <v>1</v>
      </c>
      <c r="AF21" s="102" t="s">
        <v>0</v>
      </c>
      <c r="AG21" s="103" t="s">
        <v>1</v>
      </c>
    </row>
    <row r="22" spans="2:46" ht="16.5" thickBot="1" x14ac:dyDescent="0.4">
      <c r="B22" s="123" t="s">
        <v>110</v>
      </c>
      <c r="C22" s="124"/>
      <c r="D22" s="124"/>
      <c r="E22" s="124"/>
      <c r="F22" s="124"/>
      <c r="G22" s="124"/>
      <c r="H22" s="126"/>
      <c r="I22" s="125"/>
      <c r="J22" s="332">
        <f>IF(OR(ISBLANK($M$6),ISBLANK($N$6)),"",IF(J20=YEAR($M$6),$M$6,""))</f>
        <v>0</v>
      </c>
      <c r="K22" s="328" t="e">
        <f>IF(IF(OR(ISBLANK($M$6),ISBLANK($N$6)),"",IF(J20=YEAR($M$6),$M$6,""))="","",IF(OR(ISBLANK($M$6),ISBLANK($N$6)),"",IF(AND(J20=YEAR($N$6),$V$6&gt;$N$6),$N$6,IF(J20=YEAR($V$6),$V$6-1,IF(J20=YEAR($T$12),$T$12-1,IF(J20=YEAR($T$13),$T$13-1,IF(J20=YEAR($T$14),$T$14-1,IF(J20=YEAR($T$15),$T$15-1,IF(J20=YEAR($T$16),$T$16-1,IF(YEAR($N$6)=J20,$N$6,DATE(J20,12,31)))))))))))</f>
        <v>#VALUE!</v>
      </c>
      <c r="L22" s="327" t="e">
        <f>IF(AND(N6&lt;V6,YEAR(N6)=YEAR(V6))=TRUE,"",IF(OR(ISBLANK(M6),ISBLANK(N6)),"",IF(AND(J20=YEAR($J$20),$V$6&gt;$J$20),"",IF(J20=YEAR($V$6),$V$6,IF(J20=YEAR($T$12),$T$12,IF(J20=YEAR($T$13),$T$13,IF(J20=YEAR($T$14),$T$14,IF(J20=YEAR($T$15),$T$15,IF(J20=YEAR($T$16),$T$16,"")))))))))</f>
        <v>#VALUE!</v>
      </c>
      <c r="M22" s="329" t="e">
        <f>IF(OR(ISBLANK($M$6),ISBLANK($N$6)),"",IF(IF(AND(J20=YEAR($N$6),$V$6&gt;$N$6),"",IF(J20=YEAR($V$6),$V$6,IF(J20=YEAR($T$12),$T$12,IF(J20=YEAR($T$13),$T$13,IF(J20=YEAR($T$14),$T$14,IF(J20=YEAR($T$15),$T$15,IF(J20=YEAR($T$16),$T$16,"")))))))="","",IF(YEAR($N$6)=J20,$N$6,DATE(J20,12,31))))</f>
        <v>#VALUE!</v>
      </c>
      <c r="N22" s="110"/>
      <c r="O22" s="110"/>
      <c r="P22" s="327" t="str">
        <f>IF(OR(ISBLANK($M$6),ISBLANK($N$6)),"",IF(YEAR(N6)&lt;P20,"",IF(P20&lt;YEAR($M$6),$M$6,IF(YEAR($N$6)&gt;=P20,DATE(P20,1,1),""))))</f>
        <v/>
      </c>
      <c r="Q22" s="328" t="str">
        <f>IF(IF(P20&lt;YEAR($M$6),$M$6,IF(YEAR($N$6)&gt;=P20,DATE(P20,1,1),""))="","",IF(AND(MONTH(1)=MONTH($V$6),P20=YEAR($N$6)),$N$6,IF(AND($V$6&lt;$N$6,$N$6&gt;$T$12,),$N$6,IF(MONTH(1)=MONTH($V$6),DATE(P20,12,31),IF(AND(P20=YEAR($N$6),$V$6&gt;$N$6),$N$6,IF(P20=YEAR($V$6),$V$6-1,IF(P20=YEAR($T$12),$T$12-1,IF(P20=YEAR($T$13),$T$13-1,IF(P20=YEAR($T$14),$T$14-1,IF(P20=YEAR($T$15),$T$15-1,IF(P20=YEAR($T$16),$T$16-1,IF(YEAR($N$6)=P20,$N$6,DATE(P20,12,31)))))))))))))</f>
        <v/>
      </c>
      <c r="R22" s="108"/>
      <c r="S22" s="109"/>
      <c r="T22" s="108"/>
      <c r="U22" s="110"/>
      <c r="V22" s="327" t="str">
        <f>IF(IF(OR(ISBLANK($M$6),ISBLANK($N$6)),"",IF(P20&lt;YEAR($M$6),$M$6,IF(YEAR($N$6)&gt;=P20,DATE(P20,1,1),"")))="","",IF(MONTH(1)=MONTH($V$6),"",IF(AND(P20=YEAR($N$6),$V$6&gt;$N$6),"",IF(P20=YEAR($V$6),$V$6,IF(P20=YEAR($T$12),$T$12,IF(P20=YEAR($T$13),$T$13,IF(P20=YEAR($T$14),$T$14,IF(P20=YEAR($T$15),$T$15,IF(P20=YEAR($T$16),$T$16,"")))))))))</f>
        <v/>
      </c>
      <c r="W22" s="794" t="str">
        <f>IF(IF(OR(ISBLANK($M$6),ISBLANK($N$6)),"",IF(P20&lt;YEAR($M$6),$M$6,IF(YEAR($N$6)&gt;=P20,DATE(P20,1,1),"")))="","",IF(MONTH(1)=MONTH($V$6),"",IF(IF(AND(P20=YEAR($N$6),$V$6&gt;$N$6),"",IF(P20=YEAR($V$6),$V$6,IF(P20=YEAR($T$12),$T$12,IF(P20=YEAR($T$13),$T$13,IF(P20=YEAR($T$14),$T$14,IF(P20=YEAR($T$15),$T$15,IF(P20=YEAR($T$16),$T$16,"")))))))="","",IF(YEAR($N$6)=P20,$N$6,DATE(P20,12,31)))))</f>
        <v/>
      </c>
      <c r="X22" s="794"/>
      <c r="Y22" s="795"/>
      <c r="Z22" s="108"/>
      <c r="AA22" s="109"/>
      <c r="AB22" s="327" t="str">
        <f>IF(AB20&lt;YEAR($M$6),$M$6,IF(YEAR($N$6)&gt;=AB20,DATE(AB20,1,1),""))</f>
        <v/>
      </c>
      <c r="AC22" s="328" t="str">
        <f>IF(IF(AB20&lt;YEAR($M$6),$M$6,IF(YEAR($N$6)&gt;=AB20,DATE(AB20,1,1),""))="","",IF(AND(MONTH(1)=MONTH($V$6),AB20=YEAR($N$6)),$N$6,IF(AND($V$6&lt;$N$6,$N$6&gt;$T$12,),$N$6,IF(MONTH(1)=MONTH($V$6),DATE(AB20,12,31),IF(AND(AB20=YEAR($N$6),$V$6&gt;$N$6),$N$6,IF(AB20=YEAR($V$6),$V$6-1,IF(AB20=YEAR($T$12),$T$12-1,IF(AB20=YEAR($T$13),$T$13-1,IF(AB20=YEAR($T$14),$T$14-1,IF(AB20=YEAR($T$15),$T$15-1,IF(AB20=YEAR($T$16),$T$16-1,IF(YEAR($N$6)=AB20,$N$6,DATE(AB20,12,31)))))))))))))</f>
        <v/>
      </c>
      <c r="AD22" s="327" t="str">
        <f>IF(IF(OR(ISBLANK($M$6),ISBLANK($N$6)),"",IF(AB20&lt;YEAR($M$6),$M$6,IF(YEAR($N$6)&gt;=AB20,DATE(AB20,1,1),"")))="","",IF(MONTH(1)=MONTH($V$6),"",IF(AND(AB20=YEAR($N$6),$V$6&gt;$N$6),"",IF(AB20=YEAR($V$6),$V$6,IF(AB20=YEAR($T$12),$T$12,IF(AB20=YEAR($T$13),$T$13,IF(AB20=YEAR($T$14),$T$14,IF(AB20=YEAR($T$15),$T$15,IF(AB20=YEAR($T$16),$T$16,IF($N$6&lt;$T$12,"",""))))))))))</f>
        <v/>
      </c>
      <c r="AE22" s="329" t="str">
        <f>IF(AD22="","",IF(IF(OR(ISBLANK($M$6),ISBLANK($N$6)),"",IF(AB20&lt;YEAR($M$6),$M$6,IF(YEAR($N$6)&gt;=AB20,DATE(AB20,1,1),"")))="","",IF(MONTH(1)=MONTH($V$6),"",IF(IF(AND(AB20=YEAR($N$6),$V$6&gt;$N$6),"",IF(AB20=YEAR($V$6),$V$6,IF(AB20=YEAR($T$12),$T$12,IF(AB20=YEAR($T$13),$T$13,IF(AB20=YEAR($T$14),$T$14,IF(AB20=YEAR($T$15),$T$15,IF(AB20=YEAR($T$16),$T$16,"")))))))="","",IF(YEAR($N$6)=AB20,$N$6,DATE(AB20,12,31))))))</f>
        <v/>
      </c>
      <c r="AF22" s="110"/>
      <c r="AG22" s="109"/>
    </row>
    <row r="23" spans="2:46" ht="16.149999999999999" hidden="1" customHeight="1" outlineLevel="1" thickBot="1" x14ac:dyDescent="0.4">
      <c r="B23" s="442"/>
      <c r="C23" s="105"/>
      <c r="D23" s="105"/>
      <c r="E23" s="105"/>
      <c r="F23" s="105"/>
      <c r="G23" s="105"/>
      <c r="H23" s="82"/>
      <c r="I23" s="105"/>
      <c r="J23" s="441" t="e">
        <f>IF(J22="",0,(EOMONTH(J22,0)-J22+1)/(EOMONTH(J22,0)-EOMONTH(J22,-1))+(K22-EOMONTH(K22,-1))/(EOMONTH(K22,0)-EOMONTH(K22,-1))+MONTH(K22)-MONTH(J22)-1+(YEAR(K22)-YEAR(J22))*12)</f>
        <v>#NUM!</v>
      </c>
      <c r="K23" s="112" t="e">
        <f>IF(AND(DAY(J22)&gt;1,MONTH(J22)&lt;&gt;MONTH(K22)),30-DAY(J22)+1,IF(J22="",0,(IF(MONTH(J22)=MONTH(K22),IF(OR(K22=C57,K22=C58,K22=C59,K22=C60,K22=C61,K22=C62,K22=C63,K22=C64,K22=C65,K22=C66,K22=C67,K22=C68),30-DAY(J22)+1,IF(MONTH(J22)=MONTH(K22),DAY(K22)-DAY(J22)+1,0))))))</f>
        <v>#VALUE!</v>
      </c>
      <c r="L23" s="111" t="e">
        <f>IF(L22="",0,(EOMONTH(L22,0)-L22+1)/(EOMONTH(L22,0)-EOMONTH(L22,-1))+(M22-EOMONTH(M22,-1))/(EOMONTH(M22,0)-EOMONTH(M22,-1))+MONTH(M22)-MONTH(L22)-1+(YEAR(M22)-YEAR(L22))*12)</f>
        <v>#VALUE!</v>
      </c>
      <c r="M23" s="112" t="e">
        <f>IF(L22="",0,IF(AND(DAY(L22)=1,MONTH(L22)&lt;&gt;MONTH(M22)),30,IF(AND(DAY(L22)&gt;1,MONTH(L22)&lt;&gt;MONTH(M22)),30-DAY(L22)+1,IF(MONTH(L22)=MONTH(M22),IF(OR(M22=C57,M22=C58,M22=C59,M22=C60,M22=C61,M22=C62,M22=C63,M22=C64,M22=C65,M22=C66,M22=C67,M22=C68),30-DAY(L22)+1,IF(MONTH(L22)=MONTH(M22),DAY(M22)-DAY(L22)+1,0))))))</f>
        <v>#VALUE!</v>
      </c>
      <c r="N23" s="111">
        <f>IF(N22="",0,(EOMONTH(N22,0)-N22+1)/(EOMONTH(N22,0)-EOMONTH(N22,-1))+(O22-EOMONTH(O22,-1))/(EOMONTH(O22,0)-EOMONTH(O22,-1))+MONTH(O22)-MONTH(N22)-1+(YEAR(O22)-YEAR(N22))*12)</f>
        <v>0</v>
      </c>
      <c r="O23" s="112">
        <f>IF(N22="",0,IF(AND(DAY(N22)=1,MONTH(N22)&lt;&gt;MONTH(O22)),30,IF(AND(DAY(N22)&gt;1,MONTH(N22)&lt;&gt;MONTH(O22)),30-DAY(N22)+1,IF(MONTH(N22)=MONTH(O22),IF(OR(O22=C57,O22=C58,O22=C59,O22=C60,O22=C61,O22=C62,O22=C63,O22=C64,O22=C65,O22=C66,O22=C67,O22=C68),30-DAY(N22)+1,IF(MONTH(N22)=MONTH(O22),DAY(O22)-DAY(N22)+1,0))))))</f>
        <v>0</v>
      </c>
      <c r="P23" s="111">
        <f>IF(P22="",0,(EOMONTH(P22,0)-P22+1)/(EOMONTH(P22,0)-EOMONTH(P22,-1))+(Q22-EOMONTH(Q22,-1))/(EOMONTH(Q22,0)-EOMONTH(Q22,-1))+MONTH(Q22)-MONTH(P22)-1+(YEAR(Q22)-YEAR(P22))*12)</f>
        <v>0</v>
      </c>
      <c r="Q23" s="113" t="e">
        <f>IF(AND(DAY(P22)&gt;1,MONTH(P22)&lt;&gt;MONTH(Q22)),30-DAY(P22)+1,IF(P22="",0,(IF(MONTH(P22)=MONTH(Q22),IF(OR(Q22=R57,Q22=R58,Q22=R59,Q22=R60,Q22=R61,Q22=R62,Q22=R63,Q22=R64,Q22=R65,Q22=R66,Q22=R67,Q22=R68),30-DAY(P22)+1,IF(MONTH(P22)=MONTH(Q22),DAY(Q22)-DAY(P22)+1,0))))))</f>
        <v>#VALUE!</v>
      </c>
      <c r="R23" s="114"/>
      <c r="S23" s="114"/>
      <c r="T23" s="114"/>
      <c r="U23" s="114"/>
      <c r="V23" s="111">
        <f>IF(V22="",0,(EOMONTH(V22,0)-V22+1)/(EOMONTH(V22,0)-EOMONTH(V22,-1))+(W22-EOMONTH(W22,-1))/(EOMONTH(W22,0)-EOMONTH(W22,-1))+MONTH(W22)-MONTH(V22)-1+(YEAR(W22)-YEAR(V22))*12)</f>
        <v>0</v>
      </c>
      <c r="W23" s="112">
        <f>IF(V22="",0,IF(AND(DAY(V22)=1,MONTH(V22)&lt;&gt;MONTH(W22)),30,IF(AND(DAY(V22)&gt;1,MONTH(V22)&lt;&gt;MONTH(W22)),30-DAY(V22)+1,IF(MONTH(V22)=MONTH(W22),IF(OR(W22=R57,W22=R58,W22=R59,W22=R60,W22=R61,W22=R62,W22=R63,W22=R64,W22=R65,W22=R66,W22=R67,W22=R68),30-DAY(V22)+1,IF(MONTH(V22)=MONTH(W22),DAY(W22)-DAY(V22)+1,0))))))</f>
        <v>0</v>
      </c>
      <c r="X23" s="115"/>
      <c r="Y23" s="115"/>
      <c r="Z23" s="111">
        <f>IF(Z22="",0,(EOMONTH(Z22,0)-Z22+1)/(EOMONTH(Z22,0)-EOMONTH(Z22,-1))+(AA22-EOMONTH(AA22,-1))/(EOMONTH(AA22,0)-EOMONTH(AA22,-1))+MONTH(AA22)-MONTH(Z22)-1+(YEAR(AA22)-YEAR(Z22))*12)</f>
        <v>0</v>
      </c>
      <c r="AA23" s="112">
        <f>IF(Z22="",0,IF(AND(DAY(Z22)=1,MONTH(Z22)&lt;&gt;MONTH(AA22)),30,IF(AND(DAY(Z22)&gt;1,MONTH(Z22)&lt;&gt;MONTH(AA22)),30-DAY(Z22)+1,IF(MONTH(Z22)=MONTH(AA22),IF(OR(AA22=R57,AA22=R58,AA22=R59,AA22=R60,AA22=R61,AA22=R62,AA22=R63,AA22=R64,AA22=R65,AA22=R66,AA22=R67,AA22=R68),30-DAY(Z22)+1,IF(MONTH(Z22)=MONTH(AA22),DAY(AA22)-DAY(Z22)+1,0))))))</f>
        <v>0</v>
      </c>
      <c r="AB23" s="111">
        <f>IF(AB22="",0,(EOMONTH(AB22,0)-AB22+1)/(EOMONTH(AB22,0)-EOMONTH(AB22,-1))+(AC22-EOMONTH(AC22,-1))/(EOMONTH(AC22,0)-EOMONTH(AC22,-1))+MONTH(AC22)-MONTH(AB22)-1+(YEAR(AC22)-YEAR(AB22))*12)</f>
        <v>0</v>
      </c>
      <c r="AC23" s="112" t="e">
        <f>IF(AND(DAY(AB22)&gt;1,MONTH(AB22)&lt;&gt;MONTH(AC22)),30-DAY(AB22)+1,IF(AB22="",0,(IF(MONTH(AB22)=MONTH(AC22),IF(OR(AC22=AH57,AC22=AH58,AC22=AH59,AC22=AH60,AC22=AH61,AC22=AH62,AC22=AH63,AC22=AH64,AC22=AH65,AC22=AH66,AC22=AH67,AC22=AH68),30-DAY(AB22)+1,IF(MONTH(AB22)=MONTH(AC22),DAY(AC22)-DAY(AB22)+1,0))))))</f>
        <v>#VALUE!</v>
      </c>
      <c r="AD23" s="111">
        <f>IF(AD22="",0,(EOMONTH(AD22,0)-AD22+1)/(EOMONTH(AD22,0)-EOMONTH(AD22,-1))+(AE22-EOMONTH(AE22,-1))/(EOMONTH(AE22,0)-EOMONTH(AE22,-1))+MONTH(AE22)-MONTH(AD22)-1+(YEAR(AE22)-YEAR(AD22))*12)</f>
        <v>0</v>
      </c>
      <c r="AE23" s="112">
        <f>IF(AD22="",0,IF(AND(DAY(AD22)=1,MONTH(AD22)&lt;&gt;MONTH(AE22)),30,IF(AND(DAY(AD22)&gt;1,MONTH(AD22)&lt;&gt;MONTH(AE22)),30-DAY(AD22)+1,IF(MONTH(AD22)=MONTH(AE22),IF(OR(AE22=AH57,AE22=AH58,AE22=AH59,AE22=AH60,AE22=AH61,AE22=AH62,AE22=AH63,AE22=AH64,AE22=AH65,AE22=AH66,AE22=AH67,AE22=AH68),30-DAY(AD22)+1,IF(MONTH(AD22)=MONTH(AE22),DAY(AE22)-DAY(AD22)+1,0))))))</f>
        <v>0</v>
      </c>
      <c r="AF23" s="111">
        <f>IF(AF22="",0,(EOMONTH(AF22,0)-AF22+1)/(EOMONTH(AF22,0)-EOMONTH(AF22,-1))+(AG22-EOMONTH(AG22,-1))/(EOMONTH(AG22,0)-EOMONTH(AG22,-1))+MONTH(AG22)-MONTH(AF22)-1+(YEAR(AG22)-YEAR(AF22))*12)</f>
        <v>0</v>
      </c>
      <c r="AG23" s="112">
        <f>IF(AF22="",0,IF(AND(DAY(AF22)=1,MONTH(AF22)&lt;&gt;MONTH(AG22)),30,IF(AND(DAY(AF22)&gt;1,MONTH(AF22)&lt;&gt;MONTH(AG22)),30-DAY(AF22)+1,IF(MONTH(AF22)=MONTH(AG22),IF(OR(AG22=AH57,AG22=AH58,AG22=AH59,AG22=AH60,AG22=AH61,AG22=AH62,AG22=AH63,AG22=AH64,AG22=AH65,AG22=AH66,AG22=AH67,AG22=AH68),30-DAY(AF22)+1,IF(MONTH(AF22)=MONTH(AG22),DAY(AG22)-DAY(AF22)+1,0))))))</f>
        <v>0</v>
      </c>
    </row>
    <row r="24" spans="2:46" ht="16.5" collapsed="1" thickBot="1" x14ac:dyDescent="0.4">
      <c r="B24" s="116" t="s">
        <v>2</v>
      </c>
      <c r="C24" s="117"/>
      <c r="D24" s="117"/>
      <c r="E24" s="117"/>
      <c r="F24" s="117"/>
      <c r="G24" s="117"/>
      <c r="H24" s="117"/>
      <c r="I24" s="118"/>
      <c r="J24" s="669" t="e">
        <f>IF(J22="",0,(J27*J31)*(J32+100%))</f>
        <v>#N/A</v>
      </c>
      <c r="K24" s="670"/>
      <c r="L24" s="671" t="e">
        <f>IF(L22="",0,(L27*L31)*(L32+100%))</f>
        <v>#VALUE!</v>
      </c>
      <c r="M24" s="670"/>
      <c r="N24" s="671">
        <f>IF(N22="",0,(N27*N31)*(N32+100%))</f>
        <v>0</v>
      </c>
      <c r="O24" s="670"/>
      <c r="P24" s="671">
        <f>IF(P22="",0,(P27*P31)*(P32+100%))</f>
        <v>0</v>
      </c>
      <c r="Q24" s="670"/>
      <c r="R24" s="613"/>
      <c r="S24" s="613"/>
      <c r="T24" s="613"/>
      <c r="U24" s="613"/>
      <c r="V24" s="671">
        <f>IF(V22="",0,(V27*V31)*(V32+100%))</f>
        <v>0</v>
      </c>
      <c r="W24" s="669"/>
      <c r="X24" s="669"/>
      <c r="Y24" s="670"/>
      <c r="Z24" s="671">
        <f>IF(Z22="",0,(Z27*Z31)*(Z32+100%))</f>
        <v>0</v>
      </c>
      <c r="AA24" s="670"/>
      <c r="AB24" s="671">
        <f>IF(AB22="",0,(AB27*AB31)*(AB32+100%))</f>
        <v>0</v>
      </c>
      <c r="AC24" s="670"/>
      <c r="AD24" s="671">
        <f>IF(AD22="",0,(AD27*AD31)*(AD32+100%))</f>
        <v>0</v>
      </c>
      <c r="AE24" s="670"/>
      <c r="AF24" s="671">
        <f>IF(AF22="",0,(AF27*AF31)*(AF32+100%))</f>
        <v>0</v>
      </c>
      <c r="AG24" s="670"/>
    </row>
    <row r="25" spans="2:46" x14ac:dyDescent="0.35">
      <c r="B25" s="120" t="s">
        <v>3</v>
      </c>
      <c r="C25" s="94"/>
      <c r="D25" s="94"/>
      <c r="E25" s="94"/>
      <c r="F25" s="94"/>
      <c r="G25" s="94"/>
      <c r="H25" s="121"/>
      <c r="I25" s="95"/>
      <c r="J25" s="672" t="str">
        <f>IF(J22="","",P6)</f>
        <v>Bitte auswählen</v>
      </c>
      <c r="K25" s="673"/>
      <c r="L25" s="674" t="e">
        <f>IF(L22="","",IF(IF(OR(ISBLANK(M6),ISBLANK(N6)),"",IF(AND(J20=YEAR($J$20),$V$6&gt;$J$20),"",IF(J20=YEAR($V$6),$V$6,IF(J20=YEAR($T$12),$T$12,IF(J20=YEAR($T$13),$T$13,IF(J20=YEAR($T$14),$T$14,IF(J20=YEAR($T$15),$T$15,IF(J20=YEAR($T$16),$T$16,""))))))))="","",$P$6))</f>
        <v>#VALUE!</v>
      </c>
      <c r="M25" s="673"/>
      <c r="N25" s="675"/>
      <c r="O25" s="676"/>
      <c r="P25" s="716" t="str">
        <f>IF(IF(OR(ISBLANK($M$6),ISBLANK($N$6)),"",IF(P20&lt;YEAR($M$6),$M$6,IF(YEAR($N$6)&gt;=P20,DATE(P20,1,1),"")))="","",$P$6)</f>
        <v/>
      </c>
      <c r="Q25" s="717"/>
      <c r="R25" s="611"/>
      <c r="S25" s="611"/>
      <c r="T25" s="611"/>
      <c r="U25" s="611"/>
      <c r="V25" s="674" t="e">
        <f>IF(OR(V22=$V$6,V22=$T$12,V22=$T$13,V22=$T$14,V22=$T$15,V22=$T$16),P25,"")</f>
        <v>#VALUE!</v>
      </c>
      <c r="W25" s="672"/>
      <c r="X25" s="672"/>
      <c r="Y25" s="673"/>
      <c r="Z25" s="731"/>
      <c r="AA25" s="732"/>
      <c r="AB25" s="674" t="str">
        <f>IF(IF(OR(ISBLANK($M$6),ISBLANK($N$6)),"",IF(AB20&lt;YEAR($M$6),$M$6,IF(YEAR($N$6)&gt;=AB20,DATE(AB20,1,1),"")))="","",$P$6)</f>
        <v/>
      </c>
      <c r="AC25" s="673"/>
      <c r="AD25" s="716" t="e">
        <f>IF(OR(AD22=$V$6,AD22=$T$12,AD22=$T$13,AD22=$T$14,AD22=$T$15,AD22=$T$16),AB25,"")</f>
        <v>#VALUE!</v>
      </c>
      <c r="AE25" s="717"/>
      <c r="AF25" s="731"/>
      <c r="AG25" s="732"/>
    </row>
    <row r="26" spans="2:46" ht="18" thickBot="1" x14ac:dyDescent="0.4">
      <c r="B26" s="123" t="s">
        <v>171</v>
      </c>
      <c r="C26" s="124"/>
      <c r="D26" s="124"/>
      <c r="E26" s="124"/>
      <c r="F26" s="124"/>
      <c r="G26" s="124"/>
      <c r="H26" s="126"/>
      <c r="I26" s="125"/>
      <c r="J26" s="793" t="str">
        <f>IF(ISBLANK(Q6),"",Q6)</f>
        <v>Bitte auswählen</v>
      </c>
      <c r="K26" s="717"/>
      <c r="L26" s="716" t="e">
        <f>IF(ISBLANK(V6),"",IF(L22=$V$6,$S$12,IF(L22=$T$12,$S$13,IF(L22=$T$13,$S$14,IF(L22=$T$14,$S$15,IF(L22=$T$15,$S$16,""))))))</f>
        <v>#VALUE!</v>
      </c>
      <c r="M26" s="717"/>
      <c r="N26" s="675"/>
      <c r="O26" s="676"/>
      <c r="P26" s="755" t="str">
        <f>IF(P22="","",IF(P22=$V$6,S12,IF(YEAR(N6)&lt;P20,"",IF(IF(L22=$V$6,$S$12,IF(L22=$T$12,$S$13,IF(L22=$T$13,$S$14,IF(L22=$T$14,$S$15,IF(L22=$T$15,$S$16,"")))))="",J26,L26))))</f>
        <v/>
      </c>
      <c r="Q26" s="756"/>
      <c r="R26" s="611"/>
      <c r="S26" s="611"/>
      <c r="T26" s="611"/>
      <c r="U26" s="611"/>
      <c r="V26" s="785" t="str">
        <f>IF(V22="","",IF(ISBLANK(Q6),"",IF(V22=$V$6,$S$12,IF(V22=$T$12,$S$13,IF(V22=$T$13,$S$14,IF(V22=$T$14,$S$15,IF(V22=$T$15,$S$16,"")))))))</f>
        <v/>
      </c>
      <c r="W26" s="796"/>
      <c r="X26" s="796"/>
      <c r="Y26" s="786"/>
      <c r="Z26" s="722"/>
      <c r="AA26" s="723"/>
      <c r="AB26" s="716" t="str">
        <f>IF(AB22="","",IF(AB22=$V$6,$S$12,IF(AB22=$T$12,$S$13,IF(AB22=$T$13,$S$14,IF(AB22=$T$14,$S$15,IF(AB22=$T$15,$S$16,IF(V26="",P26,V26)))))))</f>
        <v/>
      </c>
      <c r="AC26" s="717"/>
      <c r="AD26" s="785" t="str">
        <f>IF(AD22="","",IF(ISBLANK(V6),"",IF(AD22=$V$6,$S$12,IF(AD22=$T$12,$S$13,IF(AD22=$T$13,$S$14,IF(AD22=$T$14,$S$15,IF(AD22=$T$15,$S$16,"")))))))</f>
        <v/>
      </c>
      <c r="AE26" s="786"/>
      <c r="AF26" s="722"/>
      <c r="AG26" s="723"/>
    </row>
    <row r="27" spans="2:46" x14ac:dyDescent="0.35">
      <c r="B27" s="120" t="s">
        <v>4</v>
      </c>
      <c r="C27" s="94"/>
      <c r="D27" s="94"/>
      <c r="E27" s="94"/>
      <c r="F27" s="94"/>
      <c r="G27" s="94"/>
      <c r="H27" s="121"/>
      <c r="I27" s="95"/>
      <c r="J27" s="739">
        <f>IF(ISERROR(INDEX(EntgelteJahr1,MATCH(J25,GruppeJahr1,0),MATCH(J26,StufeJahr1,0))),0,INDEX(EntgelteJahr1,MATCH(J25,GruppeJahr1,0),MATCH(J26,StufeJahr1,0)))</f>
        <v>0</v>
      </c>
      <c r="K27" s="715"/>
      <c r="L27" s="714">
        <f>IF(ISERROR(INDEX(EntgelteJahr1,MATCH(L25,GruppeJahr1,0),MATCH(L26,StufeJahr1,0))),0,INDEX(EntgelteJahr1,MATCH(L25,GruppeJahr1,0),MATCH(L26,StufeJahr1,0)))</f>
        <v>0</v>
      </c>
      <c r="M27" s="715"/>
      <c r="N27" s="714">
        <f>IF(ISERROR(INDEX(EntgelteJahr1,MATCH(N25,GruppeJahr1,0),MATCH(N26,StufeJahr1,0))),0,INDEX(EntgelteJahr1,MATCH(N25,GruppeJahr1,0),MATCH(N26,StufeJahr1,0)))</f>
        <v>0</v>
      </c>
      <c r="O27" s="715"/>
      <c r="P27" s="714">
        <f>IF(ISERROR(INDEX(EntgelteJahr2,MATCH(P25,GruppeJahr2,0),MATCH(P26,StufeJahr2,0))),0,INDEX(EntgelteJahr2,MATCH(P25,GruppeJahr2,0),MATCH(P26,StufeJahr2,0)))</f>
        <v>0</v>
      </c>
      <c r="Q27" s="715"/>
      <c r="R27" s="122"/>
      <c r="S27" s="122"/>
      <c r="T27" s="122"/>
      <c r="U27" s="122"/>
      <c r="V27" s="714">
        <f>IF(ISERROR(INDEX(EntgelteJahr2,MATCH(V25,GruppeJahr2,0),MATCH(V26,StufeJahr2,0))),0,INDEX(EntgelteJahr2,MATCH(V25,GruppeJahr2,0),MATCH(V26,StufeJahr2,0)))</f>
        <v>0</v>
      </c>
      <c r="W27" s="739"/>
      <c r="X27" s="739"/>
      <c r="Y27" s="715"/>
      <c r="Z27" s="714">
        <f>IF(ISERROR(INDEX(EntgelteJahr2,MATCH(Z25,GruppeJahr2,0),MATCH(Z26,StufeJahr2,0))),0,INDEX(EntgelteJahr2,MATCH(Z25,GruppeJahr2,0),MATCH(Z26,StufeJahr2,0)))</f>
        <v>0</v>
      </c>
      <c r="AA27" s="715"/>
      <c r="AB27" s="714">
        <f>IF(ISERROR(INDEX(EntgelteJahr3,MATCH(AB25,GruppeJahr3,0),MATCH(AB26,StufeJahr3,0))),0,INDEX(EntgelteJahr3,MATCH(AB25,GruppeJahr3,0),MATCH(AB26,StufeJahr3,0)))</f>
        <v>0</v>
      </c>
      <c r="AC27" s="715"/>
      <c r="AD27" s="714">
        <f>IF(ISERROR(INDEX(EntgelteJahr3,MATCH(AD25,GruppeJahr3,0),MATCH(AD26,StufeJahr3,0))),0,INDEX(EntgelteJahr3,MATCH(AD25,GruppeJahr3,0),MATCH(AD26,StufeJahr3,0)))</f>
        <v>0</v>
      </c>
      <c r="AE27" s="715"/>
      <c r="AF27" s="714">
        <f>IF(ISERROR(INDEX(EntgelteJahr3,MATCH(AF25,GruppeJahr3,0),MATCH(AF26,StufeJahr3,0))),0,INDEX(EntgelteJahr3,MATCH(AF25,GruppeJahr3,0),MATCH(AF26,StufeJahr3,0)))</f>
        <v>0</v>
      </c>
      <c r="AG27" s="715"/>
    </row>
    <row r="28" spans="2:46" ht="17.25" x14ac:dyDescent="0.35">
      <c r="B28" s="104" t="s">
        <v>172</v>
      </c>
      <c r="C28" s="105"/>
      <c r="D28" s="105"/>
      <c r="E28" s="105"/>
      <c r="F28" s="105"/>
      <c r="G28" s="105"/>
      <c r="H28" s="107"/>
      <c r="I28" s="106"/>
      <c r="J28" s="754">
        <f>IF(ISERROR(INDEX(JszJahr1,MATCH(J25,JszGrJahr1,0),MATCH(J26,JszStJahr1,0))),0,(INDEX(JszJahr1,MATCH(J25,JszGrJahr1,0),MATCH(J26,JszStJahr1,0))))</f>
        <v>0</v>
      </c>
      <c r="K28" s="713"/>
      <c r="L28" s="712">
        <f>IF(ISERROR(INDEX(JszJahr1,MATCH(L25,JszGrJahr1,0),MATCH(L26,JszStJahr1,0))),0,(INDEX(JszJahr1,MATCH(L25,JszGrJahr1,0),MATCH(L26,JszStJahr1,0))))</f>
        <v>0</v>
      </c>
      <c r="M28" s="713"/>
      <c r="N28" s="712">
        <f>IF(ISERROR(INDEX(JszJahr1,MATCH(N25,JszGrJahr1,0),MATCH(N26,JszStJahr1,0))),0,(INDEX(JszJahr1,MATCH(N25,JszGrJahr1,0),MATCH(N26,JszStJahr1,0))))</f>
        <v>0</v>
      </c>
      <c r="O28" s="713"/>
      <c r="P28" s="712">
        <f>IF(ISERROR(INDEX(JszJahr2,MATCH(P25,JszGrJahr2,0),MATCH(P26,JszStJahr2,0))),0,(INDEX(JszJahr2,MATCH(P25,JszGrJahr2,0),MATCH(P26,JszStJahr2,0))))</f>
        <v>0</v>
      </c>
      <c r="Q28" s="713"/>
      <c r="R28" s="612"/>
      <c r="S28" s="612"/>
      <c r="T28" s="612"/>
      <c r="U28" s="612"/>
      <c r="V28" s="754">
        <f>IF(ISERROR(INDEX(JszJahr2,MATCH(V25,JszGrJahr2,0),MATCH(V26,JszStJahr2,0))),0,(INDEX(JszJahr2,MATCH(V25,JszGrJahr2,0),MATCH(V26,JszStJahr2,0))))</f>
        <v>0</v>
      </c>
      <c r="W28" s="754"/>
      <c r="X28" s="754"/>
      <c r="Y28" s="713"/>
      <c r="Z28" s="754">
        <f>IF(ISERROR(INDEX(JszJahr2,MATCH(Z25,JszGrJahr2,0),MATCH(Z26,JszStJahr2,0))),0,(INDEX(JszJahr2,MATCH(Z25,JszGrJahr2,0),MATCH(Z26,JszStJahr2,0))))</f>
        <v>0</v>
      </c>
      <c r="AA28" s="713"/>
      <c r="AB28" s="712">
        <f>IF(ISERROR(INDEX(JszJahr3,MATCH(AB25,JszGrJahr3,0),MATCH(AB26,JszStJahr3,0))),0,(INDEX(JszJahr3,MATCH(AB25,JszGrJahr3,0),MATCH(AB26,JszStJahr3,0))))</f>
        <v>0</v>
      </c>
      <c r="AC28" s="713"/>
      <c r="AD28" s="712">
        <f>IF(ISERROR(INDEX(JszJahr3,MATCH(AD25,JszGrJahr3,0),MATCH(AD26,JszStJahr3,0))),0,(INDEX(JszJahr3,MATCH(AD25,JszGrJahr3,0),MATCH(AD26,JszStJahr3,0))))</f>
        <v>0</v>
      </c>
      <c r="AE28" s="713"/>
      <c r="AF28" s="712">
        <f>IF(ISERROR(INDEX(JszJahr3,MATCH(AF25,JszGrJahr3,0),MATCH(AF26,JszStJahr3,0))),0,(INDEX(JszJahr3,MATCH(AF25,JszGrJahr3,0),MATCH(AF26,JszStJahr3,0))))</f>
        <v>0</v>
      </c>
      <c r="AG28" s="713"/>
    </row>
    <row r="29" spans="2:46" ht="16.149999999999999" hidden="1" customHeight="1" outlineLevel="1" thickBot="1" x14ac:dyDescent="0.4">
      <c r="B29" s="104" t="s">
        <v>43</v>
      </c>
      <c r="C29" s="105"/>
      <c r="D29" s="105"/>
      <c r="E29" s="105"/>
      <c r="F29" s="105"/>
      <c r="G29" s="105"/>
      <c r="H29" s="107"/>
      <c r="I29" s="106"/>
      <c r="J29" s="743" t="e">
        <f>IF(SUM(D68:F68)&gt;0,"ja","nein")</f>
        <v>#VALUE!</v>
      </c>
      <c r="K29" s="757"/>
      <c r="L29" s="757"/>
      <c r="M29" s="757"/>
      <c r="N29" s="757"/>
      <c r="O29" s="757"/>
      <c r="P29" s="740" t="str">
        <f>IF(SUM(S68:U68)&gt;0,"ja","nein")</f>
        <v>nein</v>
      </c>
      <c r="Q29" s="741"/>
      <c r="R29" s="741"/>
      <c r="S29" s="741"/>
      <c r="T29" s="741"/>
      <c r="U29" s="741"/>
      <c r="V29" s="742"/>
      <c r="W29" s="742"/>
      <c r="X29" s="742"/>
      <c r="Y29" s="742"/>
      <c r="Z29" s="741"/>
      <c r="AA29" s="743"/>
      <c r="AB29" s="707" t="str">
        <f>IF(SUM(AI68:AK68)&gt;0,"ja","nein")</f>
        <v>nein</v>
      </c>
      <c r="AC29" s="708"/>
      <c r="AD29" s="708"/>
      <c r="AE29" s="708"/>
      <c r="AF29" s="708"/>
      <c r="AG29" s="709"/>
    </row>
    <row r="30" spans="2:46" ht="16.5" collapsed="1" thickBot="1" x14ac:dyDescent="0.4">
      <c r="B30" s="123" t="s">
        <v>111</v>
      </c>
      <c r="C30" s="124"/>
      <c r="D30" s="124"/>
      <c r="E30" s="124"/>
      <c r="F30" s="124"/>
      <c r="G30" s="124"/>
      <c r="H30" s="126"/>
      <c r="I30" s="125"/>
      <c r="J30" s="750">
        <f>StundenJahr1</f>
        <v>39</v>
      </c>
      <c r="K30" s="725"/>
      <c r="L30" s="724">
        <f>StundenJahr1</f>
        <v>39</v>
      </c>
      <c r="M30" s="725"/>
      <c r="N30" s="724">
        <f>StundenJahr1</f>
        <v>39</v>
      </c>
      <c r="O30" s="725"/>
      <c r="P30" s="737">
        <f>StundenJahr2</f>
        <v>39</v>
      </c>
      <c r="Q30" s="738"/>
      <c r="R30" s="127"/>
      <c r="S30" s="127"/>
      <c r="T30" s="127"/>
      <c r="U30" s="127"/>
      <c r="V30" s="758">
        <f>StundenJahr2</f>
        <v>39</v>
      </c>
      <c r="W30" s="758"/>
      <c r="X30" s="758"/>
      <c r="Y30" s="738"/>
      <c r="Z30" s="758">
        <f>StundenJahr2</f>
        <v>39</v>
      </c>
      <c r="AA30" s="738"/>
      <c r="AB30" s="724">
        <f>StundenJahr3</f>
        <v>39</v>
      </c>
      <c r="AC30" s="725"/>
      <c r="AD30" s="724">
        <f>StundenJahr3</f>
        <v>39</v>
      </c>
      <c r="AE30" s="725"/>
      <c r="AF30" s="724">
        <f>StundenJahr3</f>
        <v>39</v>
      </c>
      <c r="AG30" s="725"/>
    </row>
    <row r="31" spans="2:46" ht="16.5" thickBot="1" x14ac:dyDescent="0.4">
      <c r="B31" s="120" t="s">
        <v>89</v>
      </c>
      <c r="C31" s="94"/>
      <c r="D31" s="94"/>
      <c r="E31" s="94"/>
      <c r="F31" s="94"/>
      <c r="G31" s="94"/>
      <c r="H31" s="121"/>
      <c r="I31" s="95"/>
      <c r="J31" s="751">
        <f>IF(J22="","",IF(YEAR(M6)&lt;$J$20,"",$O$6))</f>
        <v>0</v>
      </c>
      <c r="K31" s="711"/>
      <c r="L31" s="710">
        <f>IF(L27&gt;0,$O$6,0)</f>
        <v>0</v>
      </c>
      <c r="M31" s="711"/>
      <c r="N31" s="726"/>
      <c r="O31" s="727"/>
      <c r="P31" s="710" t="str">
        <f>IF(YEAR($N$6)&lt;$P$20,"",$O$6)</f>
        <v/>
      </c>
      <c r="Q31" s="711"/>
      <c r="R31" s="331"/>
      <c r="S31" s="331"/>
      <c r="T31" s="331"/>
      <c r="U31" s="331"/>
      <c r="V31" s="710">
        <f>IF(V27&gt;0,$O$6,0)</f>
        <v>0</v>
      </c>
      <c r="W31" s="751"/>
      <c r="X31" s="751"/>
      <c r="Y31" s="711"/>
      <c r="Z31" s="726"/>
      <c r="AA31" s="727"/>
      <c r="AB31" s="710" t="str">
        <f>IF(YEAR($N$6)&lt;$AB$20,"",$O$6)</f>
        <v/>
      </c>
      <c r="AC31" s="711"/>
      <c r="AD31" s="710">
        <f>IF(AD27&gt;0,$O$6,0)</f>
        <v>0</v>
      </c>
      <c r="AE31" s="711"/>
      <c r="AF31" s="726"/>
      <c r="AG31" s="727"/>
    </row>
    <row r="32" spans="2:46" ht="18" thickBot="1" x14ac:dyDescent="0.4">
      <c r="B32" s="123" t="s">
        <v>173</v>
      </c>
      <c r="C32" s="124"/>
      <c r="D32" s="124"/>
      <c r="E32" s="124"/>
      <c r="F32" s="124"/>
      <c r="G32" s="124"/>
      <c r="H32" s="128"/>
      <c r="I32" s="125"/>
      <c r="J32" s="728" t="e">
        <f>IF($X$5=TRUE,ZuschlagJahr1,0)</f>
        <v>#N/A</v>
      </c>
      <c r="K32" s="703"/>
      <c r="L32" s="702" t="e">
        <f>IF($X$5=TRUE,ZuschlagJahr1,0)</f>
        <v>#N/A</v>
      </c>
      <c r="M32" s="703"/>
      <c r="N32" s="702" t="e">
        <f>IF($X$5=TRUE,ZuschlagJahr1,0)</f>
        <v>#N/A</v>
      </c>
      <c r="O32" s="703"/>
      <c r="P32" s="702" t="e">
        <f>IF($X$5=TRUE,ZuschlagJahr2,0)</f>
        <v>#N/A</v>
      </c>
      <c r="Q32" s="703"/>
      <c r="R32" s="129"/>
      <c r="S32" s="129"/>
      <c r="T32" s="129"/>
      <c r="U32" s="129"/>
      <c r="V32" s="702" t="e">
        <f>IF($X$5=TRUE,ZuschlagJahr2,0)</f>
        <v>#N/A</v>
      </c>
      <c r="W32" s="728"/>
      <c r="X32" s="728"/>
      <c r="Y32" s="703"/>
      <c r="Z32" s="702" t="e">
        <f>IF($X$5=TRUE,ZuschlagJahr2,0)</f>
        <v>#N/A</v>
      </c>
      <c r="AA32" s="703"/>
      <c r="AB32" s="702" t="e">
        <f>IF($X$5=TRUE,ZuschlagJahr3,0)</f>
        <v>#N/A</v>
      </c>
      <c r="AC32" s="703"/>
      <c r="AD32" s="702" t="e">
        <f>IF($X$5=TRUE,ZuschlagJahr3,0)</f>
        <v>#N/A</v>
      </c>
      <c r="AE32" s="703"/>
      <c r="AF32" s="702" t="e">
        <f>IF($X$5=TRUE,ZuschlagJahr3,0)</f>
        <v>#N/A</v>
      </c>
      <c r="AG32" s="703"/>
    </row>
    <row r="33" spans="2:45" ht="61.5" customHeight="1" thickBot="1" x14ac:dyDescent="0.4">
      <c r="L33" s="115"/>
      <c r="M33" s="115"/>
      <c r="N33" s="115"/>
      <c r="O33" s="115"/>
      <c r="P33" s="115"/>
      <c r="Q33" s="115"/>
      <c r="R33" s="115"/>
      <c r="S33" s="115"/>
      <c r="T33" s="115"/>
      <c r="U33" s="115"/>
      <c r="V33" s="115"/>
      <c r="W33" s="115"/>
      <c r="X33" s="115"/>
      <c r="Y33" s="115"/>
      <c r="AB33" s="115"/>
      <c r="AC33" s="115"/>
      <c r="AD33" s="115"/>
      <c r="AE33" s="115"/>
    </row>
    <row r="34" spans="2:45" ht="27" customHeight="1" thickBot="1" x14ac:dyDescent="0.4">
      <c r="J34" s="744">
        <f>AB20+1</f>
        <v>1903</v>
      </c>
      <c r="K34" s="745"/>
      <c r="L34" s="745"/>
      <c r="M34" s="745"/>
      <c r="N34" s="745"/>
      <c r="O34" s="746"/>
      <c r="P34" s="747">
        <f>J34+1</f>
        <v>1904</v>
      </c>
      <c r="Q34" s="748"/>
      <c r="R34" s="748"/>
      <c r="S34" s="748"/>
      <c r="T34" s="748"/>
      <c r="U34" s="748"/>
      <c r="V34" s="748"/>
      <c r="W34" s="748"/>
      <c r="X34" s="748"/>
      <c r="Y34" s="748"/>
      <c r="Z34" s="748"/>
      <c r="AA34" s="749"/>
      <c r="AB34" s="704">
        <f>P34+1</f>
        <v>1905</v>
      </c>
      <c r="AC34" s="705"/>
      <c r="AD34" s="705"/>
      <c r="AE34" s="705"/>
      <c r="AF34" s="705"/>
      <c r="AG34" s="706"/>
    </row>
    <row r="35" spans="2:45" ht="16.5" thickBot="1" x14ac:dyDescent="0.4">
      <c r="B35" s="93"/>
      <c r="C35" s="94"/>
      <c r="D35" s="94"/>
      <c r="E35" s="94"/>
      <c r="F35" s="94"/>
      <c r="G35" s="94"/>
      <c r="H35" s="96"/>
      <c r="I35" s="95"/>
      <c r="J35" s="130" t="s">
        <v>0</v>
      </c>
      <c r="K35" s="131" t="s">
        <v>1</v>
      </c>
      <c r="L35" s="130" t="s">
        <v>0</v>
      </c>
      <c r="M35" s="131" t="s">
        <v>1</v>
      </c>
      <c r="N35" s="130" t="s">
        <v>0</v>
      </c>
      <c r="O35" s="131" t="s">
        <v>1</v>
      </c>
      <c r="P35" s="132" t="s">
        <v>0</v>
      </c>
      <c r="Q35" s="133" t="s">
        <v>1</v>
      </c>
      <c r="R35" s="134"/>
      <c r="S35" s="134"/>
      <c r="T35" s="134"/>
      <c r="U35" s="134"/>
      <c r="V35" s="132" t="s">
        <v>0</v>
      </c>
      <c r="W35" s="799" t="s">
        <v>1</v>
      </c>
      <c r="X35" s="799"/>
      <c r="Y35" s="800"/>
      <c r="Z35" s="132" t="s">
        <v>0</v>
      </c>
      <c r="AA35" s="133" t="s">
        <v>1</v>
      </c>
      <c r="AB35" s="135" t="s">
        <v>0</v>
      </c>
      <c r="AC35" s="136" t="s">
        <v>1</v>
      </c>
      <c r="AD35" s="135" t="s">
        <v>0</v>
      </c>
      <c r="AE35" s="136" t="s">
        <v>1</v>
      </c>
      <c r="AF35" s="135" t="s">
        <v>0</v>
      </c>
      <c r="AG35" s="136" t="s">
        <v>1</v>
      </c>
    </row>
    <row r="36" spans="2:45" ht="16.5" thickBot="1" x14ac:dyDescent="0.4">
      <c r="B36" s="123" t="s">
        <v>110</v>
      </c>
      <c r="C36" s="124"/>
      <c r="D36" s="124"/>
      <c r="E36" s="124"/>
      <c r="F36" s="124"/>
      <c r="G36" s="124"/>
      <c r="H36" s="126"/>
      <c r="I36" s="125"/>
      <c r="J36" s="327" t="str">
        <f>IF(OR(ISBLANK($M$6),ISBLANK($N$6)),"",IF(J34&lt;YEAR($M$6),$M$6,IF(YEAR($N$6)&gt;=J34,DATE(J34,1,1),"")))</f>
        <v/>
      </c>
      <c r="K36" s="328" t="str">
        <f>IF(IF(OR(ISBLANK($M$6),ISBLANK($N$6)),"",IF(J34&lt;YEAR($M$6),$M$6,IF(YEAR($N$6)&gt;=J34,DATE(J34,1,1),"")))="","",IF(AND(MONTH(1)=MONTH($V$6),J34=YEAR($N$6)),$N$6,IF(AND($V$6&lt;$N$6,$N$6&gt;$T$12,),$N$6,IF(MONTH(1)=MONTH($V$6),DATE(J34,12,31),IF(OR(ISBLANK($M$6),ISBLANK($N$6)),"",IF(AND(J34=YEAR($N$6),$V$6&gt;$N$6),$N$6,IF(J34=YEAR($V$6),$V$6-1,IF(J34=YEAR($T$12),$T$12-1,IF(J34=YEAR($T$13),$T$13-1,IF(J34=YEAR($T$14),$T$14-1,IF(J34=YEAR($T$15),$T$15-1,IF(J34=YEAR($T$16),$T$16-1,IF(YEAR($N$6)=J34,$N$6,DATE(J34,12,31))))))))))))))</f>
        <v/>
      </c>
      <c r="L36" s="327" t="str">
        <f>IF(YEAR(N6)&lt;J34,"",IF(OR(ISBLANK(M6),ISBLANK(N6)),"",IF(AND(J34=YEAR($N$6),$V$6&gt;$N$6),"",IF(MONTH(1)=MONTH($V$6),"",IF(J34=YEAR($V$6),$V$6,IF(J34=YEAR($T$12),$T$12,IF(J34=YEAR($T$13),$T$13,IF(J34=YEAR($T$14),$T$14,IF(J34=YEAR($T$15),$T$15,IF(J34=YEAR($T$16),$T$16,IF($N$6&lt;$T$12,"","")))))))))))</f>
        <v/>
      </c>
      <c r="M36" s="329" t="str">
        <f>IF(L36="","",IF(YEAR(N6)&lt;J34,"",IF(OR(ISBLANK($M$6),ISBLANK($N$6)),"",IF(MONTH(1)=MONTH($V$6),"",IF(IF(AND(J34=YEAR($N$6),$V$6&gt;$N$6),"",IF(J34=YEAR($V$6),$V$6,IF(J34=YEAR($T$12),$T$12,IF(J34=YEAR($T$13),$T$13,IF(J34=YEAR($T$14),$T$14,IF(J34=YEAR($T$15),$T$15,IF(J34=YEAR($T$16),$T$16,"")))))))="","",IF(YEAR($N$6)=J34,$N$6,DATE(J34,12,31)))))))</f>
        <v/>
      </c>
      <c r="N36" s="110"/>
      <c r="O36" s="110"/>
      <c r="P36" s="327" t="str">
        <f>IF(OR(ISBLANK($M$6),ISBLANK($N$6)),"",IF(P34&lt;YEAR($M$6),$M$6,IF(YEAR($N$6)&gt;=P34,DATE(P34,1,1),"")))</f>
        <v/>
      </c>
      <c r="Q36" s="328" t="str">
        <f>IF(IF(OR(ISBLANK($M$6),ISBLANK($N$6)),"",IF(P34&lt;YEAR($M$6),$M$6,IF(YEAR($N$6)&gt;=P34,DATE(P34,1,1),"")))="","",IF(AND(MONTH(1)=MONTH($V$6),P34=YEAR($N$6)),$N$6,IF(AND($V$6&lt;$N$6,$N$6&gt;$T$12,),$N$6,IF(MONTH(1)=MONTH($V$6),DATE(P34,12,31),IF(OR(ISBLANK($M$6),ISBLANK($N$6)),"",IF(AND(P34=YEAR($N$6),$V$6&gt;$N$6),$N$6,IF(P34=YEAR($V$6),$V$6-1,IF(P34=YEAR($T$12),$T$12-1,IF(P34=YEAR($T$13),$T$13-1,IF(P34=YEAR($T$14),$T$14-1,IF(P34=YEAR($T$15),$T$15-1,IF(P34=YEAR($T$16),$T$16-1,IF(YEAR($N$6)=P34,$N$6,DATE(P34,12,31))))))))))))))</f>
        <v/>
      </c>
      <c r="R36" s="108"/>
      <c r="S36" s="109"/>
      <c r="T36" s="108"/>
      <c r="U36" s="110"/>
      <c r="V36" s="327" t="str">
        <f>IF(IF(OR(ISBLANK($M$6),ISBLANK($N$6)),"",IF(P34&lt;YEAR($M$6),$M$6,IF(YEAR($N$6)&gt;=P34,DATE(P34,1,1),"")))="","",IF(MONTH(1)=MONTH($V$6),"",IF(AND(P34=YEAR($N$6),$V$6&gt;$N$6),"",IF(P34=YEAR($V$6),$V$6,IF(P34=YEAR($T$12),$T$12,IF(P34=YEAR($T$13),$T$13,IF(P34=YEAR($T$14),$T$14,IF(P34=YEAR($T$15),$T$15,IF(P34=YEAR($T$16),$T$16,IF($N$6&lt;$T$12,"",""))))))))))</f>
        <v/>
      </c>
      <c r="W36" s="794" t="str">
        <f>IF(V36="","",IF(IF(OR(ISBLANK($M$6),ISBLANK($N$6)),"",IF(P34&lt;YEAR($M$6),$M$6,IF(YEAR($N$6)&gt;=P34,DATE(P34,1,1),"")))="","",IF(MONTH(1)=MONTH($V$6),"",IF(IF(AND(P34=YEAR($N$6),$V$6&gt;$N$6),"",IF(P34=YEAR($V$6),$V$6,IF(P34=YEAR($T$12),$T$12,IF(P34=YEAR($T$13),$T$13,IF(P34=YEAR($T$14),$T$14,IF(P34=YEAR($T$15),$T$15,IF(P34=YEAR($T$16),$T$16,"")))))))="","",IF(YEAR($N$6)=P34,$N$6,DATE(P34,12,31))))))</f>
        <v/>
      </c>
      <c r="X36" s="794"/>
      <c r="Y36" s="795"/>
      <c r="Z36" s="108"/>
      <c r="AA36" s="109"/>
      <c r="AB36" s="327" t="str">
        <f>IF(AB34&lt;YEAR($M$6),$M$6,IF(YEAR($N$6)&gt;=AB34,DATE(AB34,1,1),""))</f>
        <v/>
      </c>
      <c r="AC36" s="328" t="str">
        <f>IF(IF(OR(ISBLANK($M$6),ISBLANK($N$6)),"",IF(AB34&lt;YEAR($M$6),$M$6,IF(YEAR($N$6)&gt;=AB34,DATE(AB34,1,1),"")))="","",IF(AND(MONTH(1)=MONTH($V$6),AB34=YEAR($N$6)),$N$6,IF(AND($V$6&lt;$N$6,$N$6&gt;$T$12,),$N$6,IF(MONTH(1)=MONTH($V$6),DATE(AB34,12,31),IF(OR(ISBLANK($M$6),ISBLANK($N$6)),"",IF(AND(AB34=YEAR($N$6),$V$6&gt;$N$6),$N$6,IF(AB34=YEAR($V$6),$V$6-1,IF(AB34=YEAR($T$12),$T$12-1,IF(AB34=YEAR($T$13),$T$13-1,IF(AB34=YEAR($T$14),$T$14-1,IF(AB34=YEAR($T$15),$T$15-1,IF(AB34=YEAR($T$16),$T$16-1,IF(YEAR($N$6)=AB34,$N$6,DATE(AB34,12,31))))))))))))))</f>
        <v/>
      </c>
      <c r="AD36" s="327" t="str">
        <f>IF(IF(AB34&lt;YEAR($M$6),$M$6,IF(YEAR($N$6)&gt;=AB34,DATE(AB34,1,1),""))="","",IF(MONTH(1)=MONTH($V$6),"",IF(AND(AB34=YEAR($N$6),$V$6&gt;$N$6),"",IF(AB34=YEAR($V$6),$V$6,IF(AB34=YEAR($T$12),$T$12,IF(AB34=YEAR($T$13),$T$13,IF(AB34=YEAR($T$14),$T$14,IF(AB34=YEAR($T$15),$T$15,IF(AB34=YEAR($T$16),$T$16,IF($N$6&lt;$T$12,"",""))))))))))</f>
        <v/>
      </c>
      <c r="AE36" s="329" t="str">
        <f>IF(AD36="","",IF(IF(AB34&lt;YEAR($M$6),$M$6,IF(YEAR($N$6)&gt;=AB34,DATE(AB34,1,1),""))="","",IF(MONTH(1)=MONTH($V$6),"",IF(IF(AND(AB34=YEAR($N$6),$V$6&gt;$N$6),"",IF(AB34=YEAR($V$6),$V$6,IF(AB34=YEAR($T$12),$T$12,IF(AB34=YEAR($T$13),$T$13,IF(AB34=YEAR($T$14),$T$14,IF(AB34=YEAR($T$15),$T$15,IF(AB34=YEAR($T$16),$T$16,"")))))))="","",IF(YEAR($N$6)=AB34,$N$6,DATE(AB34,12,31))))))</f>
        <v/>
      </c>
      <c r="AF36" s="110"/>
      <c r="AG36" s="109"/>
    </row>
    <row r="37" spans="2:45" ht="16.149999999999999" hidden="1" customHeight="1" outlineLevel="1" thickBot="1" x14ac:dyDescent="0.4">
      <c r="B37" s="442"/>
      <c r="C37" s="105"/>
      <c r="D37" s="105"/>
      <c r="E37" s="105"/>
      <c r="F37" s="105"/>
      <c r="G37" s="105"/>
      <c r="H37" s="82"/>
      <c r="I37" s="105"/>
      <c r="J37" s="111">
        <f>IF(J36="",0,(EOMONTH(J36,0)-J36+1)/(EOMONTH(J36,0)-EOMONTH(J36,-1))+(K36-EOMONTH(K36,-1))/(EOMONTH(K36,0)-EOMONTH(K36,-1))+MONTH(K36)-MONTH(J36)-1+(YEAR(K36)-YEAR(J36))*12)</f>
        <v>0</v>
      </c>
      <c r="K37" s="112" t="e">
        <f>IF(AND(DAY(J36)&gt;1,MONTH(J36)&lt;&gt;MONTH(K36)),30-DAY(J36)+1,IF(J36="",0,(IF(MONTH(J36)=MONTH(K36),IF(OR(K36=C77,K36=C78,K36=C79,K36=C80,K36=C81,K36=C82,K36=C83,K36=C84,K36=C85,K36=C86,K36=C87,K36=C88),30-DAY(J36)+1,IF(MONTH(J36)=MONTH(K36),DAY(K36)-DAY(J36)+1,0))))))</f>
        <v>#VALUE!</v>
      </c>
      <c r="L37" s="111">
        <f>IF(L36="",0,(EOMONTH(L36,0)-L36+1)/(EOMONTH(L36,0)-EOMONTH(L36,-1))+(M36-EOMONTH(M36,-1))/(EOMONTH(M36,0)-EOMONTH(M36,-1))+MONTH(M36)-MONTH(L36)-1+(YEAR(M36)-YEAR(L36))*12)</f>
        <v>0</v>
      </c>
      <c r="M37" s="112">
        <f>IF(L36="",0,IF(AND(DAY(L36)=1,MONTH(L36)&lt;&gt;MONTH(M36)),30,IF(AND(DAY(L36)&gt;1,MONTH(L36)&lt;&gt;MONTH(M36)),30-DAY(L36)+1,IF(MONTH(L36)=MONTH(M36),IF(OR(M36=C77,M36=C78,M36=C79,M36=C80,M36=C81,M36=C82,M36=C83,M36=C84,M36=C85,M36=C86,M36=C87,M36=C88),30-DAY(L36)+1,IF(MONTH(L36)=MONTH(M36),DAY(M36)-DAY(L36)+1,0))))))</f>
        <v>0</v>
      </c>
      <c r="N37" s="111">
        <f>IF(N36="",0,(EOMONTH(N36,0)-N36+1)/(EOMONTH(N36,0)-EOMONTH(N36,-1))+(O36-EOMONTH(O36,-1))/(EOMONTH(O36,0)-EOMONTH(O36,-1))+MONTH(O36)-MONTH(N36)-1+(YEAR(O36)-YEAR(N36))*12)</f>
        <v>0</v>
      </c>
      <c r="O37" s="112">
        <f>IF(N36="",0,IF(AND(DAY(N36)=1,MONTH(N36)&lt;&gt;MONTH(O36)),30,IF(AND(DAY(N36)&gt;1,MONTH(N36)&lt;&gt;MONTH(O36)),30-DAY(N36)+1,IF(MONTH(N36)=MONTH(O36),IF(OR(O36=C77,O36=C78,O36=C79,O36=C80,O36=C81,O36=C82,O36=C83,O36=C84,O36=C85,O36=C86,O36=C87,O36=C88),30-DAY(N36)+1,IF(MONTH(N36)=MONTH(O36),DAY(O36)-DAY(N36)+1,0))))))</f>
        <v>0</v>
      </c>
      <c r="P37" s="111">
        <f>IF(P36="",0,(EOMONTH(P36,0)-P36+1)/(EOMONTH(P36,0)-EOMONTH(P36,-1))+(Q36-EOMONTH(Q36,-1))/(EOMONTH(Q36,0)-EOMONTH(Q36,-1))+MONTH(Q36)-MONTH(P36)-1+(YEAR(Q36)-YEAR(P36))*12)</f>
        <v>0</v>
      </c>
      <c r="Q37" s="113" t="e">
        <f>IF(AND(DAY(P36)&gt;1,MONTH(P36)&lt;&gt;MONTH(Q36)),30-DAY(P36)+1,IF(P36="",0,(IF(MONTH(P36)=MONTH(Q36),IF(OR(Q36=R77,Q36=R78,Q36=R79,Q36=R80,Q36=R81,Q36=R82,Q36=R83,Q36=R84,Q36=R85,Q36=R86,Q36=R87,Q36=R88),30-DAY(P36)+1,IF(MONTH(P36)=MONTH(Q36),DAY(Q36)-DAY(P36)+1,0))))))</f>
        <v>#VALUE!</v>
      </c>
      <c r="R37" s="114"/>
      <c r="S37" s="114"/>
      <c r="T37" s="114"/>
      <c r="U37" s="114"/>
      <c r="V37" s="111">
        <f>IF(V36="",0,(EOMONTH(V36,0)-V36+1)/(EOMONTH(V36,0)-EOMONTH(V36,-1))+(W36-EOMONTH(W36,-1))/(EOMONTH(W36,0)-EOMONTH(W36,-1))+MONTH(W36)-MONTH(V36)-1+(YEAR(W36)-YEAR(V36))*12)</f>
        <v>0</v>
      </c>
      <c r="W37" s="112">
        <f>IF(V36="",0,IF(AND(DAY(V36)=1,MONTH(V36)&lt;&gt;MONTH(W36)),30,IF(AND(DAY(V36)&gt;1,MONTH(V36)&lt;&gt;MONTH(W36)),30-DAY(V36)+1,IF(MONTH(V36)=MONTH(W36),IF(OR(W36=R77,W36=R78,W36=R79,W36=R80,W36=R81,W36=R82,W36=R83,W36=R84,W36=R85,W36=R86,W36=R87,W36=R88),30-DAY(V36)+1,IF(MONTH(V36)=MONTH(W36),DAY(W36)-DAY(V36)+1,0))))))</f>
        <v>0</v>
      </c>
      <c r="X37" s="115"/>
      <c r="Y37" s="115"/>
      <c r="Z37" s="111">
        <f>IF(Z36="",0,(EOMONTH(Z36,0)-Z36+1)/(EOMONTH(Z36,0)-EOMONTH(Z36,-1))+(AA36-EOMONTH(AA36,-1))/(EOMONTH(AA36,0)-EOMONTH(AA36,-1))+MONTH(AA36)-MONTH(Z36)-1+(YEAR(AA36)-YEAR(Z36))*12)</f>
        <v>0</v>
      </c>
      <c r="AA37" s="112">
        <f>IF(Z36="",0,IF(AND(DAY(Z36)=1,MONTH(Z36)&lt;&gt;MONTH(AA36)),30,IF(AND(DAY(Z36)&gt;1,MONTH(Z36)&lt;&gt;MONTH(AA36)),30-DAY(Z36)+1,IF(MONTH(Z36)=MONTH(AA36),IF(OR(AA36=R77,AA36=R78,AA36=R79,AA36=R80,AA36=R81,AA36=R82,AA36=R83,AA36=R84,AA36=R85,AA36=R86,AA36=R87,AA36=R88),30-DAY(Z36)+1,IF(MONTH(Z36)=MONTH(AA36),DAY(AA36)-DAY(Z36)+1,0))))))</f>
        <v>0</v>
      </c>
      <c r="AB37" s="111">
        <f>IF(AB36="",0,(EOMONTH(AB36,0)-AB36+1)/(EOMONTH(AB36,0)-EOMONTH(AB36,-1))+(AC36-EOMONTH(AC36,-1))/(EOMONTH(AC36,0)-EOMONTH(AC36,-1))+MONTH(AC36)-MONTH(AB36)-1+(YEAR(AC36)-YEAR(AB36))*12)</f>
        <v>0</v>
      </c>
      <c r="AC37" s="112" t="e">
        <f>IF(AND(DAY(AB36)&gt;1,MONTH(AB36)&lt;&gt;MONTH(AC36)),30-DAY(AB36)+1,IF(AB36="",0,(IF(MONTH(AB36)=MONTH(AC36),IF(OR(AC36=AH77,AC36=AH78,AC36=AH79,AC36=AH80,AC36=AH81,AC36=AH82,AC36=AH83,AC36=AH84,AC36=AH85,AC36=AH86,AC36=AH87,AC36=AH88),30-DAY(AB36)+1,IF(MONTH(AB36)=MONTH(AC36),DAY(AC36)-DAY(AB36)+1,0))))))</f>
        <v>#VALUE!</v>
      </c>
      <c r="AD37" s="111">
        <f>IF(AD36="",0,(EOMONTH(AD36,0)-AD36+1)/(EOMONTH(AD36,0)-EOMONTH(AD36,-1))+(AE36-EOMONTH(AE36,-1))/(EOMONTH(AE36,0)-EOMONTH(AE36,-1))+MONTH(AE36)-MONTH(AD36)-1+(YEAR(AE36)-YEAR(AD36))*12)</f>
        <v>0</v>
      </c>
      <c r="AE37" s="112">
        <f>IF(AD36="",0,IF(AND(DAY(AD36)=1,MONTH(AD36)&lt;&gt;MONTH(AE36)),30,IF(AND(DAY(AD36)&gt;1,MONTH(AD36)&lt;&gt;MONTH(AE36)),30-DAY(AD36)+1,IF(MONTH(AD36)=MONTH(AE36),IF(OR(AE36=AH77,AE36=AH78,AE36=AH79,AE36=AH80,AE36=AH81,AE36=AH82,AE36=AH83,AE36=AH84,AE36=AH85,AE36=AH86,AE36=AH87,AE36=AH88),30-DAY(AD36)+1,IF(MONTH(AD36)=MONTH(AE36),DAY(AE36)-DAY(AD36)+1,0))))))</f>
        <v>0</v>
      </c>
      <c r="AF37" s="111">
        <f>IF(AF36="",0,(EOMONTH(AF36,0)-AF36+1)/(EOMONTH(AF36,0)-EOMONTH(AF36,-1))+(AG36-EOMONTH(AG36,-1))/(EOMONTH(AG36,0)-EOMONTH(AG36,-1))+MONTH(AG36)-MONTH(AF36)-1+(YEAR(AG36)-YEAR(AF36))*12)</f>
        <v>0</v>
      </c>
      <c r="AG37" s="112">
        <f>IF(AF36="",0,IF(AND(DAY(AF36)=1,MONTH(AF36)&lt;&gt;MONTH(AG36)),30,IF(AND(DAY(AF36)&gt;1,MONTH(AF36)&lt;&gt;MONTH(AG36)),30-DAY(AF36)+1,IF(MONTH(AF36)=MONTH(AG36),IF(OR(AG36=AH77,AG36=AH78,AG36=AH79,AG36=AH80,AG36=AH81,AG36=AH82,AG36=AH83,AG36=AH84,AG36=AH85,AG36=AH86,AG36=AH87,AG36=AH88),30-DAY(AF36)+1,IF(MONTH(AF36)=MONTH(AG36),DAY(AG36)-DAY(AF36)+1,0))))))</f>
        <v>0</v>
      </c>
    </row>
    <row r="38" spans="2:45" ht="16.5" collapsed="1" thickBot="1" x14ac:dyDescent="0.4">
      <c r="B38" s="116" t="s">
        <v>2</v>
      </c>
      <c r="C38" s="117"/>
      <c r="D38" s="117"/>
      <c r="E38" s="117"/>
      <c r="F38" s="117"/>
      <c r="G38" s="117"/>
      <c r="H38" s="117"/>
      <c r="I38" s="118"/>
      <c r="J38" s="671">
        <f>IF(J36="",0,(J41*J45)*(J46+100%))</f>
        <v>0</v>
      </c>
      <c r="K38" s="670"/>
      <c r="L38" s="671">
        <f>IF(L36="",0,(L41*L45)*(L46+100%))</f>
        <v>0</v>
      </c>
      <c r="M38" s="670"/>
      <c r="N38" s="671">
        <f>IF(N36="",0,(N41*N45)*(N46+100%))</f>
        <v>0</v>
      </c>
      <c r="O38" s="670"/>
      <c r="P38" s="671">
        <f>IF(P36="",0,(P41*P45)*(P46+100%))</f>
        <v>0</v>
      </c>
      <c r="Q38" s="670"/>
      <c r="R38" s="613"/>
      <c r="S38" s="613"/>
      <c r="T38" s="613"/>
      <c r="U38" s="613"/>
      <c r="V38" s="671">
        <f>IF(V36="",0,(V41*V45)*(V46+100%))</f>
        <v>0</v>
      </c>
      <c r="W38" s="669"/>
      <c r="X38" s="669"/>
      <c r="Y38" s="670"/>
      <c r="Z38" s="671">
        <f>IF(Z36="",0,(Z41*Z45)*(Z46+100%))</f>
        <v>0</v>
      </c>
      <c r="AA38" s="670"/>
      <c r="AB38" s="671">
        <f>IF(AB36="",0,(AB41*AB45)*(AB46+100%))</f>
        <v>0</v>
      </c>
      <c r="AC38" s="670"/>
      <c r="AD38" s="671">
        <f>IF(AD36="",0,(AD41*AD45)*(AD46+100%))</f>
        <v>0</v>
      </c>
      <c r="AE38" s="670"/>
      <c r="AF38" s="671">
        <f>IF(AF36="",0,(AF41*AF45)*(AF46+100%))</f>
        <v>0</v>
      </c>
      <c r="AG38" s="670"/>
    </row>
    <row r="39" spans="2:45" x14ac:dyDescent="0.35">
      <c r="B39" s="120" t="s">
        <v>114</v>
      </c>
      <c r="C39" s="94"/>
      <c r="D39" s="94"/>
      <c r="E39" s="94"/>
      <c r="F39" s="94"/>
      <c r="G39" s="94"/>
      <c r="H39" s="121"/>
      <c r="I39" s="95"/>
      <c r="J39" s="716" t="str">
        <f>IF(YEAR(N6)&lt;J34,"",$P$6)</f>
        <v/>
      </c>
      <c r="K39" s="717"/>
      <c r="L39" s="716" t="e">
        <f>IF(OR(L36=$V$6,L36=$T$12,L36=$T$13,L36=$T$14,L36=$T$15,L36=$T$16),J39,"")</f>
        <v>#VALUE!</v>
      </c>
      <c r="M39" s="717"/>
      <c r="N39" s="675"/>
      <c r="O39" s="676"/>
      <c r="P39" s="716" t="str">
        <f>IF(IF(OR(ISBLANK($M$6),ISBLANK($N$6)),"",IF(P34&lt;YEAR($M$6),$M$6,IF(YEAR($N$6)&gt;=P34,DATE(P34,1,1),"")))="","",$P$6)</f>
        <v/>
      </c>
      <c r="Q39" s="717"/>
      <c r="R39" s="611"/>
      <c r="S39" s="611"/>
      <c r="T39" s="611"/>
      <c r="U39" s="611"/>
      <c r="V39" s="674" t="e">
        <f>IF(OR(V36=$V$6,V36=$T$12,V36=$T$13,V36=$T$14,V36=$T$15,V36=$T$16),P39,"")</f>
        <v>#VALUE!</v>
      </c>
      <c r="W39" s="672"/>
      <c r="X39" s="672"/>
      <c r="Y39" s="673"/>
      <c r="Z39" s="731"/>
      <c r="AA39" s="732"/>
      <c r="AB39" s="674" t="str">
        <f>IF(IF(OR(ISBLANK($M$6),ISBLANK($N$6)),"",IF(AB34&lt;YEAR($M$6),$M$6,IF(YEAR($N$6)&gt;=AB34,DATE(AB34,1,1),"")))="","",$P$6)</f>
        <v/>
      </c>
      <c r="AC39" s="673"/>
      <c r="AD39" s="716" t="e">
        <f>IF(OR(AD36=$V$6,AD36=$T$12,AD36=$T$13,AD36=$T$14,AD36=$T$15,AD36=$T$16),AB39,"")</f>
        <v>#VALUE!</v>
      </c>
      <c r="AE39" s="717"/>
      <c r="AF39" s="731"/>
      <c r="AG39" s="732"/>
    </row>
    <row r="40" spans="2:45" ht="18" thickBot="1" x14ac:dyDescent="0.4">
      <c r="B40" s="123" t="s">
        <v>171</v>
      </c>
      <c r="C40" s="124"/>
      <c r="D40" s="124"/>
      <c r="E40" s="124"/>
      <c r="F40" s="124"/>
      <c r="G40" s="124"/>
      <c r="H40" s="126"/>
      <c r="I40" s="125"/>
      <c r="J40" s="716" t="str">
        <f>IF(J36="","",IF(J36=$V$6,$S$12,IF(J36=$T$12,$S$13,IF(J36=$T$13,$S$14,IF(J36=$T$14,$S$15,IF(J36=$T$15,$S$16,IF(AD26="",AB26,AD26)))))))</f>
        <v/>
      </c>
      <c r="K40" s="717"/>
      <c r="L40" s="716" t="str">
        <f>IF(L36="","",IF(ISBLANK(Q6),"",IF(L36=$V$6,$S$12,IF(L36=$T$12,$S$13,IF(L36=$T$13,$S$14,IF(L36=$T$14,$S$15,IF(L36=$T$15,$S$16,"")))))))</f>
        <v/>
      </c>
      <c r="M40" s="717"/>
      <c r="N40" s="675"/>
      <c r="O40" s="676"/>
      <c r="P40" s="755" t="str">
        <f>IF(P36="","",IF(P36=$V$6,$S$12,IF(P36=$T$12,$S$13,IF(P36=$T$13,$S$14,IF(P36=$T$14,$S$15,IF(P36=$T$15,$S$16,IF(L40="",J40,L40)))))))</f>
        <v/>
      </c>
      <c r="Q40" s="756"/>
      <c r="R40" s="611"/>
      <c r="S40" s="611"/>
      <c r="T40" s="611"/>
      <c r="U40" s="611"/>
      <c r="V40" s="785" t="e">
        <f>IF(ISBLANK(Q6),"",IF(V36=$V$6,$S$12,IF(V36=$T$12,$S$13,IF(V36=$T$13,$S$14,IF(V36=$T$14,$S$15,IF(V36=$T$15,$S$16,""))))))</f>
        <v>#VALUE!</v>
      </c>
      <c r="W40" s="796"/>
      <c r="X40" s="796"/>
      <c r="Y40" s="786"/>
      <c r="Z40" s="722"/>
      <c r="AA40" s="723"/>
      <c r="AB40" s="716" t="str">
        <f>IF(AB36="","",IF(AB36=$V$6,$S$12,IF(AB36=$T$12,$S$13,IF(AB36=$T$13,$S$14,IF(AB36=$T$14,$S$15,IF(AB36=$T$15,$S$16,IF(V40="",P40,V40)))))))</f>
        <v/>
      </c>
      <c r="AC40" s="717"/>
      <c r="AD40" s="729" t="str">
        <f>IF(AD36="","",IF(ISBLANK(V24),"",IF(AD36=$V$6,$S$12,IF(AD36=$T$12,$S$13,IF(AD36=$T$13,$S$14,IF(AD36=$T$14,$S$15,IF(AD36=$T$15,$S$16,"")))))))</f>
        <v/>
      </c>
      <c r="AE40" s="730"/>
      <c r="AF40" s="722"/>
      <c r="AG40" s="723"/>
    </row>
    <row r="41" spans="2:45" x14ac:dyDescent="0.35">
      <c r="B41" s="120" t="s">
        <v>4</v>
      </c>
      <c r="C41" s="94"/>
      <c r="D41" s="94"/>
      <c r="E41" s="94"/>
      <c r="F41" s="94"/>
      <c r="G41" s="94"/>
      <c r="H41" s="121"/>
      <c r="I41" s="95"/>
      <c r="J41" s="714">
        <f>IF(ISERROR(INDEX(EntgelteJahr4,MATCH(J39,GruppeJahr4,0),MATCH(J40,StufeJahr4,0))),0,INDEX(EntgelteJahr4,MATCH(J39,GruppeJahr4,0),MATCH(J40,StufeJahr4,0)))</f>
        <v>0</v>
      </c>
      <c r="K41" s="715"/>
      <c r="L41" s="714">
        <f>IF(ISERROR(INDEX(EntgelteJahr4,MATCH(L39,GruppeJahr4,0),MATCH(L40,StufeJahr4,0))),0,INDEX(EntgelteJahr4,MATCH(L39,GruppeJahr4,0),MATCH(L40,StufeJahr4,0)))</f>
        <v>0</v>
      </c>
      <c r="M41" s="715"/>
      <c r="N41" s="714">
        <f>IF(ISERROR(INDEX(EntgelteJahr4,MATCH(N39,GruppeJahr4,0),MATCH(N40,StufeJahr4,0))),0,INDEX(EntgelteJahr4,MATCH(N39,GruppeJahr4,0),MATCH(N40,StufeJahr4,0)))</f>
        <v>0</v>
      </c>
      <c r="O41" s="715"/>
      <c r="P41" s="714">
        <f>IF(ISERROR(INDEX(EntgelteJahr5,MATCH(P39,GruppeJahr5,0),MATCH(P40,StufeJahr5,0))),0,INDEX(EntgelteJahr5,MATCH(P39,GruppeJahr5,0),MATCH(P40,StufeJahr5,0)))</f>
        <v>0</v>
      </c>
      <c r="Q41" s="715"/>
      <c r="R41" s="122"/>
      <c r="S41" s="122"/>
      <c r="T41" s="122"/>
      <c r="U41" s="122"/>
      <c r="V41" s="714">
        <f>IF(ISERROR(INDEX(EntgelteJahr5,MATCH(V39,GruppeJahr5,0),MATCH(V40,StufeJahr5,0))),0,INDEX(EntgelteJahr5,MATCH(V39,GruppeJahr5,0),MATCH(V40,StufeJahr5,0)))</f>
        <v>0</v>
      </c>
      <c r="W41" s="739"/>
      <c r="X41" s="739"/>
      <c r="Y41" s="715"/>
      <c r="Z41" s="714">
        <f>IF(ISERROR(INDEX(EntgelteJahr5,MATCH(Z39,GruppeJahr5,0),MATCH(Z40,StufeJahr5,0))),0,INDEX(EntgelteJahr5,MATCH(Z39,GruppeJahr5,0),MATCH(Z40,StufeJahr5,0)))</f>
        <v>0</v>
      </c>
      <c r="AA41" s="715"/>
      <c r="AB41" s="714">
        <f>IF(ISERROR(INDEX(EntgelteJahr6,MATCH(AB39,GruppeJahr6,0),MATCH(AB40,StufeJahr6,0))),0,INDEX(EntgelteJahr6,MATCH(AB39,GruppeJahr6,0),MATCH(AB40,StufeJahr6,0)))</f>
        <v>0</v>
      </c>
      <c r="AC41" s="715"/>
      <c r="AD41" s="714">
        <f>IF(ISERROR(INDEX(EntgelteJahr6,MATCH(AD39,GruppeJahr6,0),MATCH(AD40,StufeJahr6,0))),0,INDEX(EntgelteJahr6,MATCH(AD39,GruppeJahr6,0),MATCH(AD40,StufeJahr6,0)))</f>
        <v>0</v>
      </c>
      <c r="AE41" s="715"/>
      <c r="AF41" s="714">
        <f>IF(ISERROR(INDEX(EntgelteJahr6,MATCH(AF39,GruppeJahr6,0),MATCH(AF40,StufeJahr6,0))),0,INDEX(EntgelteJahr6,MATCH(AF39,GruppeJahr6,0),MATCH(AF40,StufeJahr6,0)))</f>
        <v>0</v>
      </c>
      <c r="AG41" s="715"/>
    </row>
    <row r="42" spans="2:45" ht="17.25" x14ac:dyDescent="0.35">
      <c r="B42" s="104" t="s">
        <v>172</v>
      </c>
      <c r="C42" s="105"/>
      <c r="D42" s="105"/>
      <c r="E42" s="105"/>
      <c r="F42" s="105"/>
      <c r="G42" s="105"/>
      <c r="H42" s="107"/>
      <c r="I42" s="106"/>
      <c r="J42" s="712">
        <f>IF(ISERROR(INDEX(JszJahr4,MATCH(J39,JszGrJahr4,0),MATCH(J40,JszStJahr4,0))),0,(INDEX(JszJahr4,MATCH(J39,JszGrJahr4,0),MATCH(J40,JszStJahr4,0))))</f>
        <v>0</v>
      </c>
      <c r="K42" s="713"/>
      <c r="L42" s="712">
        <f>IF(ISERROR(INDEX(JszJahr4,MATCH(L39,JszGrJahr4,0),MATCH(L40,JszStJahr4,0))),0,(INDEX(JszJahr4,MATCH(L39,JszGrJahr4,0),MATCH(L40,JszStJahr4,0))))</f>
        <v>0</v>
      </c>
      <c r="M42" s="713"/>
      <c r="N42" s="712">
        <f>IF(ISERROR(INDEX(JszJahr4,MATCH(N39,JszGrJahr4,0),MATCH(N40,JszStJahr4,0))),0,(INDEX(JszJahr4,MATCH(N39,JszGrJahr4,0),MATCH(N40,JszStJahr4,0))))</f>
        <v>0</v>
      </c>
      <c r="O42" s="713"/>
      <c r="P42" s="712">
        <f>IF(ISERROR(INDEX(JszJahr5,MATCH(P39,JszGrJahr5,0),MATCH(P40,JszStJahr5,0))),0,(INDEX(JszJahr5,MATCH(P39,JszGrJahr5,0),MATCH(P40,JszStJahr5,0))))</f>
        <v>0</v>
      </c>
      <c r="Q42" s="713"/>
      <c r="R42" s="612"/>
      <c r="S42" s="612"/>
      <c r="T42" s="612"/>
      <c r="U42" s="612"/>
      <c r="V42" s="754">
        <f>IF(ISERROR(INDEX(JszJahr5,MATCH(V39,JszGrJahr5,0),MATCH(V40,JszStJahr5,0))),0,(INDEX(JszJahr5,MATCH(V39,JszGrJahr5,0),MATCH(V40,JszStJahr5,0))))</f>
        <v>0</v>
      </c>
      <c r="W42" s="754"/>
      <c r="X42" s="754"/>
      <c r="Y42" s="713"/>
      <c r="Z42" s="754">
        <f>IF(ISERROR(INDEX(JszJahr5,MATCH(Z39,JszGrJahr5,0),MATCH(Z40,JszStJahr5,0))),0,(INDEX(JszJahr5,MATCH(Z39,JszGrJahr5,0),MATCH(Z40,JszStJahr5,0))))</f>
        <v>0</v>
      </c>
      <c r="AA42" s="713"/>
      <c r="AB42" s="712">
        <f>IF(ISERROR(INDEX(JszJahr6,MATCH(AB39,JszGrJahr6,0),MATCH(AB40,JszStJahr6,0))),0,(INDEX(JszJahr6,MATCH(AB39,JszGrJahr6,0),MATCH(AB40,JszStJahr6,0))))</f>
        <v>0</v>
      </c>
      <c r="AC42" s="713"/>
      <c r="AD42" s="712">
        <f>IF(ISERROR(INDEX(JszJahr6,MATCH(AD39,JszGrJahr6,0),MATCH(AD40,JszStJahr6,0))),0,(INDEX(JszJahr6,MATCH(AD39,JszGrJahr6,0),MATCH(AD40,JszStJahr6,0))))</f>
        <v>0</v>
      </c>
      <c r="AE42" s="713"/>
      <c r="AF42" s="712">
        <f>IF(ISERROR(INDEX(JszJahr6,MATCH(AF39,JszGrJahr6,0),MATCH(AF40,JszStJahr6,0))),0,(INDEX(JszJahr6,MATCH(AF39,JszGrJahr6,0),MATCH(AF40,JszStJahr6,0))))</f>
        <v>0</v>
      </c>
      <c r="AG42" s="713"/>
    </row>
    <row r="43" spans="2:45" ht="16.149999999999999" hidden="1" customHeight="1" outlineLevel="1" thickBot="1" x14ac:dyDescent="0.4">
      <c r="B43" s="104" t="s">
        <v>43</v>
      </c>
      <c r="C43" s="105"/>
      <c r="D43" s="105"/>
      <c r="E43" s="105"/>
      <c r="F43" s="105"/>
      <c r="G43" s="105"/>
      <c r="H43" s="107"/>
      <c r="I43" s="106"/>
      <c r="J43" s="757" t="str">
        <f>IF(SUM(D88:F88)&gt;0,"ja","nein")</f>
        <v>nein</v>
      </c>
      <c r="K43" s="757"/>
      <c r="L43" s="757"/>
      <c r="M43" s="757"/>
      <c r="N43" s="757"/>
      <c r="O43" s="757"/>
      <c r="P43" s="740" t="str">
        <f>IF(SUM(S88:U88)&gt;0,"ja","nein")</f>
        <v>nein</v>
      </c>
      <c r="Q43" s="741"/>
      <c r="R43" s="741"/>
      <c r="S43" s="741"/>
      <c r="T43" s="741"/>
      <c r="U43" s="741"/>
      <c r="V43" s="742"/>
      <c r="W43" s="742"/>
      <c r="X43" s="742"/>
      <c r="Y43" s="742"/>
      <c r="Z43" s="741"/>
      <c r="AA43" s="743"/>
      <c r="AB43" s="707" t="str">
        <f>IF(SUM(AI88:AK88)&gt;0,"ja","nein")</f>
        <v>nein</v>
      </c>
      <c r="AC43" s="708"/>
      <c r="AD43" s="708"/>
      <c r="AE43" s="708"/>
      <c r="AF43" s="708"/>
      <c r="AG43" s="709"/>
    </row>
    <row r="44" spans="2:45" ht="16.5" collapsed="1" thickBot="1" x14ac:dyDescent="0.4">
      <c r="B44" s="123" t="s">
        <v>111</v>
      </c>
      <c r="C44" s="124"/>
      <c r="D44" s="124"/>
      <c r="E44" s="124"/>
      <c r="F44" s="124"/>
      <c r="G44" s="124"/>
      <c r="H44" s="126"/>
      <c r="I44" s="125"/>
      <c r="J44" s="724">
        <f>StundenJahr4</f>
        <v>39</v>
      </c>
      <c r="K44" s="725"/>
      <c r="L44" s="724">
        <f>StundenJahr4</f>
        <v>39</v>
      </c>
      <c r="M44" s="725"/>
      <c r="N44" s="724">
        <f>StundenJahr4</f>
        <v>39</v>
      </c>
      <c r="O44" s="725"/>
      <c r="P44" s="737">
        <f>StundenJahr5</f>
        <v>39</v>
      </c>
      <c r="Q44" s="738"/>
      <c r="R44" s="127"/>
      <c r="S44" s="127"/>
      <c r="T44" s="127"/>
      <c r="U44" s="127"/>
      <c r="V44" s="758">
        <f>StundenJahr5</f>
        <v>39</v>
      </c>
      <c r="W44" s="758"/>
      <c r="X44" s="758"/>
      <c r="Y44" s="738"/>
      <c r="Z44" s="758">
        <f>StundenJahr5</f>
        <v>39</v>
      </c>
      <c r="AA44" s="738"/>
      <c r="AB44" s="724">
        <f>StundenJahr6</f>
        <v>39</v>
      </c>
      <c r="AC44" s="725"/>
      <c r="AD44" s="724">
        <f>StundenJahr6</f>
        <v>39</v>
      </c>
      <c r="AE44" s="725"/>
      <c r="AF44" s="724">
        <f>StundenJahr6</f>
        <v>39</v>
      </c>
      <c r="AG44" s="725"/>
    </row>
    <row r="45" spans="2:45" ht="16.5" thickBot="1" x14ac:dyDescent="0.4">
      <c r="B45" s="120" t="s">
        <v>89</v>
      </c>
      <c r="C45" s="94"/>
      <c r="D45" s="94"/>
      <c r="E45" s="94"/>
      <c r="F45" s="94"/>
      <c r="G45" s="94"/>
      <c r="H45" s="121"/>
      <c r="I45" s="95"/>
      <c r="J45" s="710" t="str">
        <f>IF(YEAR($N$6)&lt;$J$34,"",$O$6)</f>
        <v/>
      </c>
      <c r="K45" s="711"/>
      <c r="L45" s="710">
        <f>IF(L41&gt;0,$O$6,0)</f>
        <v>0</v>
      </c>
      <c r="M45" s="711"/>
      <c r="N45" s="726"/>
      <c r="O45" s="727"/>
      <c r="P45" s="710" t="str">
        <f>IF(YEAR($N$6)&lt;$P$34,"",$O$6)</f>
        <v/>
      </c>
      <c r="Q45" s="711"/>
      <c r="R45" s="331"/>
      <c r="S45" s="331"/>
      <c r="T45" s="331"/>
      <c r="U45" s="331"/>
      <c r="V45" s="710">
        <f>IF(V41&gt;0,$O$6,0)</f>
        <v>0</v>
      </c>
      <c r="W45" s="751"/>
      <c r="X45" s="751"/>
      <c r="Y45" s="711"/>
      <c r="Z45" s="726"/>
      <c r="AA45" s="727"/>
      <c r="AB45" s="710" t="str">
        <f>IF(YEAR($N$6)&lt;$AB$34,"",$O$6)</f>
        <v/>
      </c>
      <c r="AC45" s="711"/>
      <c r="AD45" s="710">
        <f>IF(AD41&gt;0,$O$6,0)</f>
        <v>0</v>
      </c>
      <c r="AE45" s="711"/>
      <c r="AF45" s="726"/>
      <c r="AG45" s="727"/>
    </row>
    <row r="46" spans="2:45" ht="18" thickBot="1" x14ac:dyDescent="0.4">
      <c r="B46" s="123" t="s">
        <v>173</v>
      </c>
      <c r="C46" s="124"/>
      <c r="D46" s="124"/>
      <c r="E46" s="124"/>
      <c r="F46" s="124"/>
      <c r="G46" s="124"/>
      <c r="H46" s="128"/>
      <c r="I46" s="125"/>
      <c r="J46" s="702" t="e">
        <f>IF($X$5=TRUE,ZuschlagJahr4,0)</f>
        <v>#N/A</v>
      </c>
      <c r="K46" s="703"/>
      <c r="L46" s="702" t="e">
        <f>IF($X$5=TRUE,ZuschlagJahr4,0)</f>
        <v>#N/A</v>
      </c>
      <c r="M46" s="703"/>
      <c r="N46" s="702" t="e">
        <f>IF($X$5=TRUE,ZuschlagJahr4,0)</f>
        <v>#N/A</v>
      </c>
      <c r="O46" s="703"/>
      <c r="P46" s="702" t="e">
        <f>IF($X$5=TRUE,ZuschlagJahr5,0)</f>
        <v>#N/A</v>
      </c>
      <c r="Q46" s="703"/>
      <c r="R46" s="129"/>
      <c r="S46" s="129"/>
      <c r="T46" s="129"/>
      <c r="U46" s="129"/>
      <c r="V46" s="702" t="e">
        <f>IF($X$5=TRUE,ZuschlagJahr5,0)</f>
        <v>#N/A</v>
      </c>
      <c r="W46" s="728"/>
      <c r="X46" s="728"/>
      <c r="Y46" s="703"/>
      <c r="Z46" s="702" t="e">
        <f>IF($X$5=TRUE,ZuschlagJahr5,0)</f>
        <v>#N/A</v>
      </c>
      <c r="AA46" s="703"/>
      <c r="AB46" s="702" t="e">
        <f>IF($X$5=TRUE,ZuschlagJahr6,0)</f>
        <v>#N/A</v>
      </c>
      <c r="AC46" s="703"/>
      <c r="AD46" s="702" t="e">
        <f>IF($X$5=TRUE,ZuschlagJahr6,0)</f>
        <v>#N/A</v>
      </c>
      <c r="AE46" s="703"/>
      <c r="AF46" s="702" t="e">
        <f>IF($X$5=TRUE,ZuschlagJahr6,0)</f>
        <v>#N/A</v>
      </c>
      <c r="AG46" s="703"/>
    </row>
    <row r="47" spans="2:45" x14ac:dyDescent="0.35">
      <c r="L47" s="115"/>
      <c r="M47" s="115"/>
      <c r="N47" s="115"/>
      <c r="O47" s="115"/>
      <c r="P47" s="115"/>
      <c r="Q47" s="115"/>
      <c r="R47" s="115"/>
      <c r="S47" s="115"/>
      <c r="T47" s="115"/>
      <c r="U47" s="115"/>
      <c r="V47" s="115"/>
      <c r="W47" s="115"/>
      <c r="X47" s="115"/>
      <c r="Y47" s="115"/>
    </row>
    <row r="48" spans="2:45" ht="18" x14ac:dyDescent="0.35">
      <c r="B48" s="383" t="s">
        <v>180</v>
      </c>
      <c r="L48" s="137"/>
      <c r="M48" s="137"/>
      <c r="N48" s="115"/>
      <c r="O48" s="137"/>
      <c r="P48" s="137"/>
      <c r="Q48" s="137"/>
      <c r="R48" s="137"/>
      <c r="S48" s="137"/>
      <c r="T48" s="137"/>
      <c r="U48" s="137"/>
      <c r="AS48" s="138"/>
    </row>
    <row r="49" spans="2:46" ht="18" x14ac:dyDescent="0.35">
      <c r="B49" s="383" t="s">
        <v>181</v>
      </c>
      <c r="L49" s="137"/>
      <c r="M49" s="137"/>
      <c r="N49" s="137"/>
      <c r="O49" s="137"/>
      <c r="P49" s="137"/>
      <c r="Q49" s="137"/>
      <c r="R49" s="137"/>
      <c r="S49" s="137"/>
      <c r="T49" s="137"/>
      <c r="U49" s="137"/>
    </row>
    <row r="50" spans="2:46" ht="18" x14ac:dyDescent="0.35">
      <c r="B50" s="599" t="s">
        <v>278</v>
      </c>
      <c r="C50" s="598"/>
      <c r="D50" s="598"/>
      <c r="E50" s="598"/>
      <c r="F50" s="598"/>
      <c r="G50" s="598"/>
      <c r="J50" s="139"/>
      <c r="K50" s="140"/>
      <c r="L50" s="141"/>
      <c r="M50" s="140"/>
      <c r="N50" s="137"/>
      <c r="O50" s="137"/>
      <c r="P50" s="137"/>
      <c r="Q50" s="137"/>
      <c r="R50" s="137"/>
      <c r="S50" s="137"/>
      <c r="T50" s="137"/>
      <c r="U50" s="137"/>
    </row>
    <row r="51" spans="2:46" x14ac:dyDescent="0.35">
      <c r="B51" s="634" t="s">
        <v>265</v>
      </c>
      <c r="C51" s="634"/>
      <c r="D51" s="634"/>
      <c r="E51" s="634"/>
      <c r="F51" s="634"/>
      <c r="G51" s="634"/>
      <c r="J51" s="139"/>
      <c r="K51" s="140"/>
      <c r="L51" s="141"/>
      <c r="M51" s="140"/>
      <c r="N51" s="137"/>
      <c r="O51" s="137"/>
      <c r="P51" s="137"/>
      <c r="Q51" s="137"/>
      <c r="R51" s="137"/>
      <c r="S51" s="137"/>
      <c r="T51" s="137"/>
      <c r="U51" s="137"/>
    </row>
    <row r="52" spans="2:46" ht="24.75" hidden="1" customHeight="1" outlineLevel="1" thickBot="1" x14ac:dyDescent="0.4">
      <c r="B52" s="142" t="s">
        <v>77</v>
      </c>
      <c r="C52" s="138"/>
      <c r="D52" s="140"/>
      <c r="E52" s="140"/>
      <c r="F52" s="140"/>
      <c r="G52" s="143" t="e">
        <f>G55+V55+AL55+G75+V75+AL75</f>
        <v>#NUM!</v>
      </c>
      <c r="J52" s="138"/>
      <c r="K52" s="140"/>
      <c r="L52" s="140"/>
      <c r="M52" s="140"/>
      <c r="N52" s="137"/>
      <c r="P52" s="137"/>
      <c r="Q52" s="137"/>
      <c r="R52" s="137"/>
      <c r="S52" s="137"/>
      <c r="T52" s="137"/>
      <c r="U52" s="137"/>
    </row>
    <row r="53" spans="2:46" collapsed="1" x14ac:dyDescent="0.35">
      <c r="B53" s="383"/>
      <c r="J53" s="138"/>
      <c r="K53" s="140"/>
      <c r="L53" s="140"/>
      <c r="M53" s="140"/>
      <c r="N53" s="137"/>
      <c r="P53" s="137"/>
      <c r="Q53" s="137"/>
      <c r="R53" s="137"/>
      <c r="S53" s="137"/>
      <c r="T53" s="137"/>
      <c r="U53" s="137"/>
    </row>
    <row r="54" spans="2:46" ht="18.75" customHeight="1" thickBot="1" x14ac:dyDescent="0.4">
      <c r="G54" s="139"/>
      <c r="L54" s="137"/>
      <c r="M54" s="137"/>
      <c r="N54" s="137"/>
      <c r="O54" s="137"/>
      <c r="P54" s="137"/>
      <c r="Q54" s="137"/>
      <c r="R54" s="137"/>
      <c r="S54" s="137"/>
      <c r="T54" s="137"/>
      <c r="U54" s="137"/>
    </row>
    <row r="55" spans="2:46" ht="16.5" thickBot="1" x14ac:dyDescent="0.4">
      <c r="B55" s="144" t="s">
        <v>59</v>
      </c>
      <c r="C55" s="145"/>
      <c r="D55" s="145"/>
      <c r="E55" s="145"/>
      <c r="F55" s="145"/>
      <c r="G55" s="146" t="e">
        <f>J23+L23+N23</f>
        <v>#NUM!</v>
      </c>
      <c r="H55" s="145"/>
      <c r="L55" s="137"/>
      <c r="M55" s="137"/>
      <c r="N55" s="137"/>
      <c r="O55" s="137"/>
      <c r="P55" s="753" t="s">
        <v>59</v>
      </c>
      <c r="Q55" s="736"/>
      <c r="R55" s="147"/>
      <c r="S55" s="147"/>
      <c r="T55" s="147"/>
      <c r="U55" s="147"/>
      <c r="V55" s="735">
        <f>P23+V23+Z23</f>
        <v>0</v>
      </c>
      <c r="W55" s="736"/>
      <c r="AC55" s="137"/>
      <c r="AD55" s="137"/>
      <c r="AE55" s="137"/>
      <c r="AF55" s="720" t="s">
        <v>59</v>
      </c>
      <c r="AG55" s="721"/>
      <c r="AH55" s="429"/>
      <c r="AI55" s="429"/>
      <c r="AJ55" s="429"/>
      <c r="AK55" s="429"/>
      <c r="AL55" s="771">
        <f>AB23+AD23+AF23</f>
        <v>0</v>
      </c>
      <c r="AM55" s="734"/>
    </row>
    <row r="56" spans="2:46" x14ac:dyDescent="0.35">
      <c r="B56" s="144">
        <f>J20</f>
        <v>1900</v>
      </c>
      <c r="C56" s="145" t="s">
        <v>31</v>
      </c>
      <c r="D56" s="145" t="s">
        <v>32</v>
      </c>
      <c r="E56" s="145" t="s">
        <v>33</v>
      </c>
      <c r="F56" s="145" t="s">
        <v>34</v>
      </c>
      <c r="G56" s="145" t="s">
        <v>5</v>
      </c>
      <c r="H56" s="145" t="s">
        <v>6</v>
      </c>
      <c r="I56" s="145" t="s">
        <v>299</v>
      </c>
      <c r="J56" s="145" t="s">
        <v>7</v>
      </c>
      <c r="K56" s="145" t="s">
        <v>8</v>
      </c>
      <c r="L56" s="145" t="s">
        <v>9</v>
      </c>
      <c r="M56" s="145" t="s">
        <v>10</v>
      </c>
      <c r="N56" s="145" t="s">
        <v>11</v>
      </c>
      <c r="O56" s="149"/>
      <c r="P56" s="753">
        <f>B56+1</f>
        <v>1901</v>
      </c>
      <c r="Q56" s="736"/>
      <c r="R56" s="147" t="s">
        <v>31</v>
      </c>
      <c r="S56" s="147" t="s">
        <v>32</v>
      </c>
      <c r="T56" s="147" t="s">
        <v>33</v>
      </c>
      <c r="U56" s="147" t="s">
        <v>34</v>
      </c>
      <c r="V56" s="752" t="s">
        <v>5</v>
      </c>
      <c r="W56" s="736"/>
      <c r="X56" s="147" t="s">
        <v>6</v>
      </c>
      <c r="Y56" s="147" t="s">
        <v>299</v>
      </c>
      <c r="Z56" s="147" t="s">
        <v>7</v>
      </c>
      <c r="AA56" s="147" t="s">
        <v>8</v>
      </c>
      <c r="AB56" s="147" t="s">
        <v>9</v>
      </c>
      <c r="AC56" s="147" t="s">
        <v>10</v>
      </c>
      <c r="AD56" s="147" t="s">
        <v>11</v>
      </c>
      <c r="AF56" s="718">
        <f>P56+1</f>
        <v>1902</v>
      </c>
      <c r="AG56" s="719"/>
      <c r="AH56" s="429" t="s">
        <v>31</v>
      </c>
      <c r="AI56" s="429" t="s">
        <v>32</v>
      </c>
      <c r="AJ56" s="429" t="s">
        <v>33</v>
      </c>
      <c r="AK56" s="429" t="s">
        <v>34</v>
      </c>
      <c r="AL56" s="733" t="s">
        <v>5</v>
      </c>
      <c r="AM56" s="734"/>
      <c r="AN56" s="150" t="s">
        <v>6</v>
      </c>
      <c r="AO56" s="150" t="s">
        <v>299</v>
      </c>
      <c r="AP56" s="150" t="s">
        <v>7</v>
      </c>
      <c r="AQ56" s="150" t="s">
        <v>8</v>
      </c>
      <c r="AR56" s="150" t="s">
        <v>9</v>
      </c>
      <c r="AS56" s="150" t="s">
        <v>10</v>
      </c>
      <c r="AT56" s="150" t="s">
        <v>11</v>
      </c>
    </row>
    <row r="57" spans="2:46" x14ac:dyDescent="0.35">
      <c r="B57" s="151" t="s">
        <v>12</v>
      </c>
      <c r="C57" s="152">
        <f>EOMONTH(CONCATENATE("01.","01.",$B$56),0)</f>
        <v>31</v>
      </c>
      <c r="D57" s="153" t="e">
        <f t="shared" ref="D57:D68" si="0">IF($J$22="",0,IF(AND(DAY($J$22)&gt;1,MONTH(C57)=MONTH($J$22)),$K$23,IF(AND(C57&gt;=$J$22,C57&lt;=$K$22),30,IF((MONTH(C57)=MONTH($K$22)),DAY($K$22),0))))</f>
        <v>#VALUE!</v>
      </c>
      <c r="E57" s="153" t="e">
        <f t="shared" ref="E57:E68" si="1">IF($L$22="",0,IF(C57&lt;$L$22,0,IF(AND(MONTH($L$22)=MONTH($M$22),MONTH(C57)=MONTH($M$22)),$M$23,IF(AND(MONTH($L$22)&lt;&gt;MONTH($M$22),MONTH(C57)=MONTH($L$22)),$M$23,IF(AND(D57&gt;0,DAY($J$22)&gt;1,MONTH($J$22)=MONTH($K$22)),30-D57-DAY($J$22)+1,IF(AND(D57&gt;0,DAY($J$22)&gt;1),30-D57,(IF(D57&gt;0,30-D57,IF(AND(C57&gt;=$L$22,C57&lt;=$M$22),30,IF((MONTH(C57)=MONTH($M$22)),DAY($M$22),0))))))))))</f>
        <v>#VALUE!</v>
      </c>
      <c r="F57" s="153">
        <f>IF($N$22="",0,IF(C57&lt;$N$22,0,IF(AND(MONTH($N$22)=MONTH($O$22),MONTH(C57)=MONTH($O$22)),$O$23,IF(AND(MONTH($N$22)&lt;&gt;MONTH($O$22),MONTH(C57)=MONTH($N$22)),$O$23,IF(AND(E57&gt;0,MONTH($N$22)=MONTH($M$22)),30-DAY($M$22),(IF(E57&gt;0,30-D57-E57,IF(AND(C57&gt;=$N$22,C57&lt;=$O$22),30,IF((MONTH(C57)=MONTH($O$22)),DAY($O$22),0)))))))))</f>
        <v>0</v>
      </c>
      <c r="G57" s="154" t="e">
        <f>IF($B$56=2026,((D57*$J$24/30)+(E57*$L$24/30)+(F57*$N$24/30))*100/102.8,
IF($B$56=2027,((D57*$J$24/30)+(E57*$L$24/30)+(F57*$N$24/30))*100/102,
IF(AND($B$56=2028,$X$5=TRUE),((D57*$J$24/30)+(E57*$L$24/30)+(F57*$N$24/30))*100/102,
(D57*$J$24/30)+(E57*$L$24/30)+(F57*$N$24/30))))</f>
        <v>#VALUE!</v>
      </c>
      <c r="H57" s="155" t="e">
        <f t="shared" ref="H57:H68" si="2">IF(AND(SUM(D57:F57)=30,F57&gt;0),$N$24*$N$28,IF(AND(SUM(D57:F57)=30,E57&gt;0),$L$24*$L$28,IF(AND(SUM(D57:F57)=30,D57&gt;0),$J$24*$J$28,"")))</f>
        <v>#VALUE!</v>
      </c>
      <c r="I57" s="156" t="e">
        <f>IF(AND($X$9=TRUE,G57&gt;0,$B$56&lt;&gt;2026),(MZJahr1*$O$10),0)</f>
        <v>#VALUE!</v>
      </c>
      <c r="J57" s="155">
        <v>0</v>
      </c>
      <c r="K57" s="156" t="e">
        <f>IF(G57&gt;=Bmg2Jahr1,AGHBTR_Jahr1,IF('HR-LM (U2,U5FOD,U7)'!G57&gt;=Bmg1Jahr1,(RvBeitrJahr1*G57)+(AvBeitrJahr1*G57)+(U2UmlJahr1*G57)+HBetrKVJahr1+HBetrPVJahr1,AGBTR_Jahr1*G57))</f>
        <v>#VALUE!</v>
      </c>
      <c r="L57" s="156" t="e">
        <f t="shared" ref="L57:L68" si="3">IF($X$8=TRUE,VZunbDM1*(G57+J57+K57+I57-U2UmlJahr1*(G57+J57)),VzLMJahr1*(G57+J57))</f>
        <v>#N/A</v>
      </c>
      <c r="M57" s="156" t="e">
        <f t="shared" ref="M57:M68" si="4">IF(G57&gt;0,(LukJahr1*$W$6),0)</f>
        <v>#VALUE!</v>
      </c>
      <c r="N57" s="156" t="e">
        <f>SUM(G57,J57,K57,L57,M57+I57)</f>
        <v>#VALUE!</v>
      </c>
      <c r="O57" s="157"/>
      <c r="P57" s="667" t="s">
        <v>12</v>
      </c>
      <c r="Q57" s="668"/>
      <c r="R57" s="152">
        <f>EOMONTH(CONCATENATE("01.","01.",$P$56),0)</f>
        <v>397</v>
      </c>
      <c r="S57" s="153">
        <f>IF($P$22="",0,IF(AND(DAY($P$22)&gt;1,MONTH(R57)=MONTH($P$22)),$Q$23,IF(AND(R57&gt;=$P$22,R57&lt;=$Q$22),30,IF((MONTH(R57)=MONTH($Q$22)),DAY($Q$22),0))))</f>
        <v>0</v>
      </c>
      <c r="T57" s="153">
        <f>IF($V$22="",0,IF(R57&lt;$V$22,0,IF(AND(MONTH($V$22)=MONTH($W$22),MONTH(R57)=MONTH($W$22)),$W$23,IF(AND(MONTH($V$22)&lt;&gt;MONTH($W$22),MONTH(R57)=MONTH($V$22)),$W$23,IF(AND(S57&gt;0,DAY($P$22)&gt;1,MONTH($P$22)=MONTH($Q$22)),30-S57-DAY($P$22)+1,IF(AND(S57&gt;0,DAY($P$22)&gt;1),30-S57,(IF(S57&gt;0,30-S57,IF(AND(R57&gt;=$V$22,R57&lt;=$W$22),30,IF((MONTH(R57)=MONTH($W$22)),DAY($W$22),0))))))))))</f>
        <v>0</v>
      </c>
      <c r="U57" s="153">
        <f t="shared" ref="U57:U68" si="5">IF($Z$22="",0,IF(R57&lt;$Z$22,0,IF(AND(MONTH($Z$22)=MONTH($AA$22),MONTH(R57)=MONTH($AA$22)),$AA$23,IF(AND(MONTH($Z$22)&lt;&gt;MONTH($AA$22),MONTH(R57)=MONTH($Z$22)),$AA$23,IF(AND(T57&gt;0,MONTH($Z$22)=MONTH($W$22)),30-DAY($W$22),(IF(T57&gt;0,30-S57-T57,IF(AND(R57&gt;=$Z$22,R57&lt;=$AA$22),30,IF((MONTH(R57)=MONTH($AA$22)),DAY($AA$22),0)))))))))</f>
        <v>0</v>
      </c>
      <c r="V57" s="677">
        <f>IF($P$56=2027,((S57*$P$24/30)+(T57*$V$24/30)+(U57*$Z$24/30))*100/102,
IF(AND($P$56=2028,$X$5=TRUE),((S57*$P$24/30)+(T57*$V$24/30)+(U57*$Z$24/30))*100/102,
(S57*$P$24/30)+(T57*$V$24/30)+(U57*$Z$24/30)))</f>
        <v>0</v>
      </c>
      <c r="W57" s="678"/>
      <c r="X57" s="155" t="str">
        <f t="shared" ref="X57:X64" si="6">IF(AND(SUM(S57:U57)=30,U57&gt;0),$Z$24*$Z$28,IF(AND(SUM(S57:U57)=30,T57&gt;0),$V$24*$V$28,IF(AND(SUM(S57:U57)=30,S57&gt;0),$P$24*$P$28,"")))</f>
        <v/>
      </c>
      <c r="Y57" s="156">
        <f t="shared" ref="Y57:Y68" si="7">IF(AND($X$9=TRUE,V57&gt;0),(MZJahr2*$O$10),0)</f>
        <v>0</v>
      </c>
      <c r="Z57" s="155">
        <v>0</v>
      </c>
      <c r="AA57" s="156" t="e">
        <f>IF(V57&gt;=Bmg2Jahr2,AGHBTR_Jahr2,IF('HR-LM (U2,U5FOD,U7)'!V57&gt;=Bmg1Jahr2,(RvBeitrJahr2*V57)+(AvBeitrJahr2*V57)+(U2UmlJahr2*V57)+HBetrKVJahr2+HBetrPVJahr2,AGBTR_Jahr2*V57))</f>
        <v>#N/A</v>
      </c>
      <c r="AB57" s="156" t="e">
        <f t="shared" ref="AB57:AB68" si="8">IF($X$8=TRUE,VZunbDM1*(U57+Y57+Z57+AA57-U2UmlJahr1*(V57+Z57)),VzDmJahr1*(V57+Z57))</f>
        <v>#N/A</v>
      </c>
      <c r="AC57" s="156">
        <f t="shared" ref="AC57:AC68" si="9">IF(V57&gt;0,(LukJahr2*$W$6),0)</f>
        <v>0</v>
      </c>
      <c r="AD57" s="156" t="e">
        <f>SUM(V57,Z57,AA57,AB57,AC57+Y57)</f>
        <v>#N/A</v>
      </c>
      <c r="AE57" s="158"/>
      <c r="AF57" s="667" t="s">
        <v>12</v>
      </c>
      <c r="AG57" s="668"/>
      <c r="AH57" s="152">
        <f>EOMONTH(CONCATENATE("01.","01.",$AF$56),0)</f>
        <v>762</v>
      </c>
      <c r="AI57" s="153">
        <f t="shared" ref="AI57:AI68" si="10">IF($AB$22="",0,IF(AND(DAY($AB$22)&gt;1,MONTH(AH57)=MONTH($AB$22)),$AC$23,IF(AND(AH57&gt;=$AB$22,AH57&lt;=$AC$22),30,IF((MONTH(AH57)=MONTH($AC$22)),DAY($AC$22),0))))</f>
        <v>0</v>
      </c>
      <c r="AJ57" s="153">
        <f t="shared" ref="AJ57:AJ68" si="11">IF($AD$22="",0,IF(AH57&lt;$AD$22,0,IF(AND(MONTH($AD$22)=MONTH($AE$22),MONTH(AH57)=MONTH($AE$22)),$AE$23,IF(AND(MONTH($AD$22)&lt;&gt;MONTH($AE$22),MONTH(AH57)=MONTH($AD$22)),$AE$23,IF(AND(AI57&gt;0,DAY($AB$22)&gt;1,MONTH($AB$22)=MONTH($AC$22)),30-AI57-DAY($AB$22)+1,IF(AND(AI57&gt;0,DAY($AB$22)&gt;1),30-AI57,(IF(AI57&gt;0,30-AI57,IF(AND(AH57&gt;=$AD$22,AH57&lt;=$AE$22),30,IF((MONTH(AH57)=MONTH($AE$22)),DAY($AE$22),0))))))))))</f>
        <v>0</v>
      </c>
      <c r="AK57" s="153">
        <f t="shared" ref="AK57:AK68" si="12">IF($AF$22="",0,IF(AH57&lt;$AF$22,0,IF(AND(MONTH($AF$22)=MONTH($AG$22),MONTH(AH57)=MONTH($AG$22)),$AG$23,IF(AND(MONTH($AF$22)&lt;&gt;MONTH($AG$22),MONTH(AH57)=MONTH($AF$22)),$AG$23,IF(AND(AJ57&gt;0,MONTH($AF$22)=MONTH($AE$22)),30-DAY($AE$22),(IF(AJ57&gt;0,30-AI57-AJ57,IF(AND(AH57&gt;=$AF$22,AH57&lt;=$AG$22),30,IF((MONTH(AH57)=MONTH($AG$22)),DAY($AG$22),0)))))))))</f>
        <v>0</v>
      </c>
      <c r="AL57" s="677">
        <f t="shared" ref="AL57:AL62" si="13">IF(AND($AF$56=2028,$X$5=TRUE),((AI57*$AB$24/30)+(AJ57*$AD$24/30)+(AK57*$AF$24/30))*100/102,(AI57*$AB$24/30)+(AJ57*$AD$24/30)+(AK57*$AF$24/30))</f>
        <v>0</v>
      </c>
      <c r="AM57" s="678"/>
      <c r="AN57" s="155" t="str">
        <f t="shared" ref="AN57:AN68" si="14">IF(AND(SUM(AI57:AK57)=30,AK57&gt;0),$AF$24*$AF$28,IF(AND(SUM(AI57:AK57)=30,AJ57&gt;0),$AD$24*$AD$28,IF(AND(SUM(AI57:AK57)=30,AI57&gt;0),$AB$24*$AB$28,"")))</f>
        <v/>
      </c>
      <c r="AO57" s="156">
        <f t="shared" ref="AO57:AO68" si="15">IF(AND($X$9=TRUE,AL57&gt;0),(MZJahr3*$O$10),0)</f>
        <v>0</v>
      </c>
      <c r="AP57" s="155">
        <v>0</v>
      </c>
      <c r="AQ57" s="156" t="e">
        <f>IF(AL57&gt;=Bmg2Jahr3,AGHBTR_Jahr3,IF('HR-LM (U2,U5FOD,U7)'!AL57&gt;=Bmg1Jahr3,(RvBeitrJahr3*AL57)+(AvBeitrJahr3*AL57)+(U2UmlJahr3*AL57)+HBetrKVJahr3+HBetrPVJahr3,AGBTR_Jahr3*AL57))</f>
        <v>#N/A</v>
      </c>
      <c r="AR57" s="156" t="e">
        <f t="shared" ref="AR57:AR68" si="16">IF($X$8=TRUE,VZunbDM1*(AK57+AO57+AP57+AQ57-U2UmlJahr1*(AL57+AP57)),VzDmJahr1*(AL57+AP57))</f>
        <v>#N/A</v>
      </c>
      <c r="AS57" s="156">
        <f t="shared" ref="AS57:AS68" si="17">IF(AL57&gt;0,(LukJahr3*$W$6),0)</f>
        <v>0</v>
      </c>
      <c r="AT57" s="156" t="e">
        <f>SUM(AL57,AP57,AQ57,AR57,AS57+AO57)</f>
        <v>#N/A</v>
      </c>
    </row>
    <row r="58" spans="2:46" x14ac:dyDescent="0.35">
      <c r="B58" s="151" t="s">
        <v>13</v>
      </c>
      <c r="C58" s="152">
        <f>EOMONTH(CONCATENATE("01.","01.",$B$56),1)</f>
        <v>59</v>
      </c>
      <c r="D58" s="153" t="e">
        <f t="shared" si="0"/>
        <v>#VALUE!</v>
      </c>
      <c r="E58" s="153" t="e">
        <f t="shared" si="1"/>
        <v>#VALUE!</v>
      </c>
      <c r="F58" s="153">
        <f t="shared" ref="F58:F68" si="18">IF($N$22="",0,IF(C58&lt;$N$22,0,IF(AND(MONTH($N$22)=MONTH($O$22),MONTH(C58)=MONTH($O$22)),$O$23,IF(AND(MONTH($N$22)&lt;&gt;MONTH($O$22),MONTH(C58)=MONTH($N$22)),$O$23,IF(AND(E58&gt;0,MONTH($N$22)=MONTH($M$22)),30-DAY($M$22),(IF(E58&gt;0,30-D58-E58,IF(AND(C58&gt;=$N$22,C58&lt;=$O$22),30,IF((MONTH(C58)=MONTH($O$22)),DAY($O$22),0)))))))))</f>
        <v>0</v>
      </c>
      <c r="G58" s="154" t="e">
        <f>IF($B$56=2026,((D58*$J$24/30)+(E58*$L$24/30)+(F58*$N$24/30))*100/102.8,
IF($B$56=2027,((D58*$J$24/30)+(E58*$L$24/30)+(F58*$N$24/30))*100/102,
IF(AND($B$56=2028,$X$5=TRUE),((D58*$J$24/30)+(E58*$L$24/30)+(F58*$N$24/30))*100/102,
(D58*$J$24/30)+(E58*$L$24/30)+(F58*$N$24/30))))</f>
        <v>#VALUE!</v>
      </c>
      <c r="H58" s="155" t="e">
        <f t="shared" si="2"/>
        <v>#VALUE!</v>
      </c>
      <c r="I58" s="156" t="e">
        <f>IF(AND($X$9=TRUE,G58&gt;0,$B$56&lt;&gt;2026),(MZJahr1*$O$10),0)</f>
        <v>#VALUE!</v>
      </c>
      <c r="J58" s="155">
        <v>0</v>
      </c>
      <c r="K58" s="156" t="e">
        <f>IF(G58&gt;=Bmg2Jahr1,AGHBTR_Jahr1,IF('HR-LM (U2,U5FOD,U7)'!G58&gt;=Bmg1Jahr1,(RvBeitrJahr1*G58)+(AvBeitrJahr1*G58)+(U2UmlJahr1*G58)+HBetrKVJahr1+HBetrPVJahr1,AGBTR_Jahr1*G58))</f>
        <v>#VALUE!</v>
      </c>
      <c r="L58" s="156" t="e">
        <f t="shared" si="3"/>
        <v>#N/A</v>
      </c>
      <c r="M58" s="156" t="e">
        <f t="shared" si="4"/>
        <v>#VALUE!</v>
      </c>
      <c r="N58" s="156" t="e">
        <f t="shared" ref="N58:N68" si="19">SUM(G58,J58,K58,L58,M58+I58)</f>
        <v>#VALUE!</v>
      </c>
      <c r="O58" s="157"/>
      <c r="P58" s="667" t="s">
        <v>13</v>
      </c>
      <c r="Q58" s="668"/>
      <c r="R58" s="152">
        <f>EOMONTH(CONCATENATE("01.","01.",$P$56),1)</f>
        <v>425</v>
      </c>
      <c r="S58" s="153">
        <f t="shared" ref="S58:S68" si="20">IF($P$22="",0,IF(AND(DAY($P$22)&gt;1,MONTH(R58)=MONTH($P$22)),$Q$23,IF(AND(R58&gt;=$P$22,R58&lt;=$Q$22),30,IF((MONTH(R58)=MONTH($Q$22)),DAY($Q$22),0))))</f>
        <v>0</v>
      </c>
      <c r="T58" s="153">
        <f t="shared" ref="T58:T68" si="21">IF($V$22="",0,IF(R58&lt;$V$22,0,IF(AND(MONTH($V$22)=MONTH($W$22),MONTH(R58)=MONTH($W$22)),$W$23,IF(AND(MONTH($V$22)&lt;&gt;MONTH($W$22),MONTH(R58)=MONTH($V$22)),$W$23,IF(AND(S58&gt;0,DAY($P$22)&gt;1,MONTH($P$22)=MONTH($Q$22)),30-S58-DAY($P$22)+1,IF(AND(S58&gt;0,DAY($P$22)&gt;1),30-S58,(IF(S58&gt;0,30-S58,IF(AND(R58&gt;=$V$22,R58&lt;=$W$22),30,IF((MONTH(R58)=MONTH($W$22)),DAY($W$22),0))))))))))</f>
        <v>0</v>
      </c>
      <c r="U58" s="153">
        <f t="shared" si="5"/>
        <v>0</v>
      </c>
      <c r="V58" s="677">
        <f>IF($P$56=2027,((S58*$P$24/30)+(T58*$V$24/30)+(U58*$Z$24/30))*100/102,
IF(AND($P$56=2028,$X$5=TRUE),((S58*$P$24/30)+(T58*$V$24/30)+(U58*$Z$24/30))*100/102,
(S58*$P$24/30)+(T58*$V$24/30)+(U58*$Z$24/30)))</f>
        <v>0</v>
      </c>
      <c r="W58" s="678"/>
      <c r="X58" s="155" t="str">
        <f t="shared" si="6"/>
        <v/>
      </c>
      <c r="Y58" s="156">
        <f t="shared" si="7"/>
        <v>0</v>
      </c>
      <c r="Z58" s="155">
        <v>0</v>
      </c>
      <c r="AA58" s="156" t="e">
        <f>IF(V58&gt;=Bmg2Jahr2,AGHBTR_Jahr2,IF('HR-LM (U2,U5FOD,U7)'!V58&gt;=Bmg1Jahr2,(RvBeitrJahr2*V58)+(AvBeitrJahr2*V58)+(U2UmlJahr2*V58)+HBetrKVJahr2+HBetrPVJahr2,AGBTR_Jahr2*V58))</f>
        <v>#N/A</v>
      </c>
      <c r="AB58" s="156" t="e">
        <f t="shared" si="8"/>
        <v>#N/A</v>
      </c>
      <c r="AC58" s="156">
        <f t="shared" si="9"/>
        <v>0</v>
      </c>
      <c r="AD58" s="156" t="e">
        <f t="shared" ref="AD58:AD68" si="22">SUM(V58,Z58,AA58,AB58,AC58+Y58)</f>
        <v>#N/A</v>
      </c>
      <c r="AE58" s="158"/>
      <c r="AF58" s="667" t="s">
        <v>13</v>
      </c>
      <c r="AG58" s="668"/>
      <c r="AH58" s="152">
        <f>EOMONTH(CONCATENATE("01.","01.",$AF$56),1)</f>
        <v>790</v>
      </c>
      <c r="AI58" s="153">
        <f t="shared" si="10"/>
        <v>0</v>
      </c>
      <c r="AJ58" s="153">
        <f t="shared" si="11"/>
        <v>0</v>
      </c>
      <c r="AK58" s="153">
        <f t="shared" si="12"/>
        <v>0</v>
      </c>
      <c r="AL58" s="677">
        <f t="shared" si="13"/>
        <v>0</v>
      </c>
      <c r="AM58" s="678"/>
      <c r="AN58" s="155" t="str">
        <f t="shared" si="14"/>
        <v/>
      </c>
      <c r="AO58" s="156">
        <f t="shared" si="15"/>
        <v>0</v>
      </c>
      <c r="AP58" s="155">
        <v>0</v>
      </c>
      <c r="AQ58" s="156" t="e">
        <f>IF(AL58&gt;=Bmg2Jahr3,AGHBTR_Jahr3,IF('HR-LM (U2,U5FOD,U7)'!AL58&gt;=Bmg1Jahr3,(RvBeitrJahr3*AL58)+(AvBeitrJahr3*AL58)+(U2UmlJahr3*AL58)+HBetrKVJahr3+HBetrPVJahr3,AGBTR_Jahr3*AL58))</f>
        <v>#N/A</v>
      </c>
      <c r="AR58" s="156" t="e">
        <f t="shared" si="16"/>
        <v>#N/A</v>
      </c>
      <c r="AS58" s="156">
        <f t="shared" si="17"/>
        <v>0</v>
      </c>
      <c r="AT58" s="156" t="e">
        <f t="shared" ref="AT58:AT68" si="23">SUM(AL58,AP58,AQ58,AR58,AS58+AO58)</f>
        <v>#N/A</v>
      </c>
    </row>
    <row r="59" spans="2:46" x14ac:dyDescent="0.35">
      <c r="B59" s="151" t="s">
        <v>14</v>
      </c>
      <c r="C59" s="152">
        <f>EOMONTH(CONCATENATE("01.","01.",$B$56),2)</f>
        <v>91</v>
      </c>
      <c r="D59" s="153" t="e">
        <f t="shared" si="0"/>
        <v>#VALUE!</v>
      </c>
      <c r="E59" s="153" t="e">
        <f t="shared" si="1"/>
        <v>#VALUE!</v>
      </c>
      <c r="F59" s="153">
        <f t="shared" si="18"/>
        <v>0</v>
      </c>
      <c r="G59" s="154" t="e">
        <f>IF($B$56=2026,((D59*$J$24/30)+(E59*$L$24/30)+(F59*$N$24/30))*100/102.8,
IF(AND($B$56=2028,$X$5=TRUE),((D59*$J$24/30)+(E59*$L$24/30)+(F59*$N$24/30))*100/102,
(D59*$J$24/30)+(E59*$L$24/30)+(F59*$N$24/30)))</f>
        <v>#VALUE!</v>
      </c>
      <c r="H59" s="155" t="e">
        <f t="shared" si="2"/>
        <v>#VALUE!</v>
      </c>
      <c r="I59" s="156" t="e">
        <f>IF(AND($X$9=TRUE,G59&gt;0,$B$56&lt;&gt;2026),(MZJahr1*$O$10),0)</f>
        <v>#VALUE!</v>
      </c>
      <c r="J59" s="155">
        <v>0</v>
      </c>
      <c r="K59" s="156" t="e">
        <f>IF(G59&gt;=Bmg2Jahr1,AGHBTR_Jahr1,IF('HR-LM (U2,U5FOD,U7)'!G59&gt;=Bmg1Jahr1,(RvBeitrJahr1*G59)+(AvBeitrJahr1*G59)+(U2UmlJahr1*G59)+HBetrKVJahr1+HBetrPVJahr1,AGBTR_Jahr1*G59))</f>
        <v>#VALUE!</v>
      </c>
      <c r="L59" s="156" t="e">
        <f t="shared" si="3"/>
        <v>#N/A</v>
      </c>
      <c r="M59" s="156" t="e">
        <f t="shared" si="4"/>
        <v>#VALUE!</v>
      </c>
      <c r="N59" s="156" t="e">
        <f t="shared" si="19"/>
        <v>#VALUE!</v>
      </c>
      <c r="O59" s="157"/>
      <c r="P59" s="667" t="s">
        <v>14</v>
      </c>
      <c r="Q59" s="668"/>
      <c r="R59" s="152">
        <f>EOMONTH(CONCATENATE("01.","01.",$P$56),2)</f>
        <v>456</v>
      </c>
      <c r="S59" s="153">
        <f t="shared" si="20"/>
        <v>0</v>
      </c>
      <c r="T59" s="153">
        <f t="shared" si="21"/>
        <v>0</v>
      </c>
      <c r="U59" s="153">
        <f t="shared" si="5"/>
        <v>0</v>
      </c>
      <c r="V59" s="677">
        <f>IF(AND($P$56=2028,$X$5=TRUE),((S59*$P$24/30)+(T59*$V$24/30)+(U59*$Z$24/30))*100/102,
(S59*$P$24/30)+(T59*$V$24/30)+(U59*$Z$24/30))</f>
        <v>0</v>
      </c>
      <c r="W59" s="678"/>
      <c r="X59" s="155" t="str">
        <f t="shared" si="6"/>
        <v/>
      </c>
      <c r="Y59" s="156">
        <f t="shared" si="7"/>
        <v>0</v>
      </c>
      <c r="Z59" s="155">
        <v>0</v>
      </c>
      <c r="AA59" s="156" t="e">
        <f>IF(V59&gt;=Bmg2Jahr2,AGHBTR_Jahr2,IF('HR-LM (U2,U5FOD,U7)'!V59&gt;=Bmg1Jahr2,(RvBeitrJahr2*V59)+(AvBeitrJahr2*V59)+(U2UmlJahr2*V59)+HBetrKVJahr2+HBetrPVJahr2,AGBTR_Jahr2*V59))</f>
        <v>#N/A</v>
      </c>
      <c r="AB59" s="156" t="e">
        <f t="shared" si="8"/>
        <v>#N/A</v>
      </c>
      <c r="AC59" s="156">
        <f t="shared" si="9"/>
        <v>0</v>
      </c>
      <c r="AD59" s="156" t="e">
        <f t="shared" si="22"/>
        <v>#N/A</v>
      </c>
      <c r="AE59" s="158"/>
      <c r="AF59" s="667" t="s">
        <v>14</v>
      </c>
      <c r="AG59" s="668"/>
      <c r="AH59" s="152">
        <f>EOMONTH(CONCATENATE("01.","01.",$AF$56),2)</f>
        <v>821</v>
      </c>
      <c r="AI59" s="153">
        <f t="shared" si="10"/>
        <v>0</v>
      </c>
      <c r="AJ59" s="153">
        <f t="shared" si="11"/>
        <v>0</v>
      </c>
      <c r="AK59" s="153">
        <f t="shared" si="12"/>
        <v>0</v>
      </c>
      <c r="AL59" s="677">
        <f t="shared" si="13"/>
        <v>0</v>
      </c>
      <c r="AM59" s="678"/>
      <c r="AN59" s="155" t="str">
        <f t="shared" si="14"/>
        <v/>
      </c>
      <c r="AO59" s="156">
        <f t="shared" si="15"/>
        <v>0</v>
      </c>
      <c r="AP59" s="155">
        <v>0</v>
      </c>
      <c r="AQ59" s="156" t="e">
        <f>IF(AL59&gt;=Bmg2Jahr3,AGHBTR_Jahr3,IF('HR-LM (U2,U5FOD,U7)'!AL59&gt;=Bmg1Jahr3,(RvBeitrJahr3*AL59)+(AvBeitrJahr3*AL59)+(U2UmlJahr3*AL59)+HBetrKVJahr3+HBetrPVJahr3,AGBTR_Jahr3*AL59))</f>
        <v>#N/A</v>
      </c>
      <c r="AR59" s="156" t="e">
        <f t="shared" si="16"/>
        <v>#N/A</v>
      </c>
      <c r="AS59" s="156">
        <f t="shared" si="17"/>
        <v>0</v>
      </c>
      <c r="AT59" s="156" t="e">
        <f t="shared" si="23"/>
        <v>#N/A</v>
      </c>
    </row>
    <row r="60" spans="2:46" x14ac:dyDescent="0.35">
      <c r="B60" s="151" t="s">
        <v>15</v>
      </c>
      <c r="C60" s="152">
        <f>EOMONTH(CONCATENATE("01.","01.",$B$56),3)</f>
        <v>121</v>
      </c>
      <c r="D60" s="153" t="e">
        <f t="shared" si="0"/>
        <v>#VALUE!</v>
      </c>
      <c r="E60" s="153" t="e">
        <f t="shared" si="1"/>
        <v>#VALUE!</v>
      </c>
      <c r="F60" s="153">
        <f t="shared" si="18"/>
        <v>0</v>
      </c>
      <c r="G60" s="154" t="e">
        <f>IF(AND($B$56=2028,$X$5=TRUE),((D60*$J$24/30)+(E60*$L$24/30)+(F60*$N$24/30))*100/102,
(D60*$J$24/30)+(E60*$L$24/30)+(F60*$N$24/30))</f>
        <v>#VALUE!</v>
      </c>
      <c r="H60" s="155" t="e">
        <f t="shared" si="2"/>
        <v>#VALUE!</v>
      </c>
      <c r="I60" s="156" t="e">
        <f t="shared" ref="I60:I68" si="24">IF(AND($X$9=TRUE,G60&gt;0),(MZJahr1*$O$10),0)</f>
        <v>#VALUE!</v>
      </c>
      <c r="J60" s="155">
        <v>0</v>
      </c>
      <c r="K60" s="156" t="e">
        <f>IF(G60&gt;=Bmg2Jahr1,AGHBTR_Jahr1,IF('HR-LM (U2,U5FOD,U7)'!G60&gt;=Bmg1Jahr1,(RvBeitrJahr1*G60)+(AvBeitrJahr1*G60)+(U2UmlJahr1*G60)+HBetrKVJahr1+HBetrPVJahr1,AGBTR_Jahr1*G60))</f>
        <v>#VALUE!</v>
      </c>
      <c r="L60" s="156" t="e">
        <f t="shared" si="3"/>
        <v>#N/A</v>
      </c>
      <c r="M60" s="156" t="e">
        <f t="shared" si="4"/>
        <v>#VALUE!</v>
      </c>
      <c r="N60" s="156" t="e">
        <f t="shared" si="19"/>
        <v>#VALUE!</v>
      </c>
      <c r="O60" s="157"/>
      <c r="P60" s="667" t="s">
        <v>15</v>
      </c>
      <c r="Q60" s="668"/>
      <c r="R60" s="152">
        <f>EOMONTH(CONCATENATE("01.","01.",$P$56),3)</f>
        <v>486</v>
      </c>
      <c r="S60" s="153">
        <f t="shared" si="20"/>
        <v>0</v>
      </c>
      <c r="T60" s="153">
        <f t="shared" si="21"/>
        <v>0</v>
      </c>
      <c r="U60" s="153">
        <f t="shared" si="5"/>
        <v>0</v>
      </c>
      <c r="V60" s="677">
        <f>IF(AND($P$56=2028,$X$5=TRUE),((S60*$P$24/30)+(T60*$V$24/30)+(U60*$Z$24/30))*100/102,
(S60*$P$24/30)+(T60*$V$24/30)+(U60*$Z$24/30))</f>
        <v>0</v>
      </c>
      <c r="W60" s="678"/>
      <c r="X60" s="155" t="str">
        <f t="shared" si="6"/>
        <v/>
      </c>
      <c r="Y60" s="156">
        <f t="shared" si="7"/>
        <v>0</v>
      </c>
      <c r="Z60" s="155">
        <v>0</v>
      </c>
      <c r="AA60" s="156" t="e">
        <f>IF(V60&gt;=Bmg2Jahr2,AGHBTR_Jahr2,IF('HR-LM (U2,U5FOD,U7)'!V60&gt;=Bmg1Jahr2,(RvBeitrJahr2*V60)+(AvBeitrJahr2*V60)+(U2UmlJahr2*V60)+HBetrKVJahr2+HBetrPVJahr2,AGBTR_Jahr2*V60))</f>
        <v>#N/A</v>
      </c>
      <c r="AB60" s="156" t="e">
        <f t="shared" si="8"/>
        <v>#N/A</v>
      </c>
      <c r="AC60" s="156">
        <f t="shared" si="9"/>
        <v>0</v>
      </c>
      <c r="AD60" s="156" t="e">
        <f t="shared" si="22"/>
        <v>#N/A</v>
      </c>
      <c r="AE60" s="158"/>
      <c r="AF60" s="667" t="s">
        <v>15</v>
      </c>
      <c r="AG60" s="668"/>
      <c r="AH60" s="152">
        <f>EOMONTH(CONCATENATE("01.","01.",$AF$56),3)</f>
        <v>851</v>
      </c>
      <c r="AI60" s="153">
        <f t="shared" si="10"/>
        <v>0</v>
      </c>
      <c r="AJ60" s="153">
        <f t="shared" si="11"/>
        <v>0</v>
      </c>
      <c r="AK60" s="153">
        <f t="shared" si="12"/>
        <v>0</v>
      </c>
      <c r="AL60" s="677">
        <f t="shared" si="13"/>
        <v>0</v>
      </c>
      <c r="AM60" s="678"/>
      <c r="AN60" s="155" t="str">
        <f t="shared" si="14"/>
        <v/>
      </c>
      <c r="AO60" s="156">
        <f t="shared" si="15"/>
        <v>0</v>
      </c>
      <c r="AP60" s="155">
        <v>0</v>
      </c>
      <c r="AQ60" s="156" t="e">
        <f>IF(AL60&gt;=Bmg2Jahr3,AGHBTR_Jahr3,IF('HR-LM (U2,U5FOD,U7)'!AL60&gt;=Bmg1Jahr3,(RvBeitrJahr3*AL60)+(AvBeitrJahr3*AL60)+(U2UmlJahr3*AL60)+HBetrKVJahr3+HBetrPVJahr3,AGBTR_Jahr3*AL60))</f>
        <v>#N/A</v>
      </c>
      <c r="AR60" s="156" t="e">
        <f t="shared" si="16"/>
        <v>#N/A</v>
      </c>
      <c r="AS60" s="156">
        <f t="shared" si="17"/>
        <v>0</v>
      </c>
      <c r="AT60" s="156" t="e">
        <f t="shared" si="23"/>
        <v>#N/A</v>
      </c>
    </row>
    <row r="61" spans="2:46" x14ac:dyDescent="0.35">
      <c r="B61" s="151" t="s">
        <v>16</v>
      </c>
      <c r="C61" s="152">
        <f>EOMONTH(CONCATENATE("01.","01.",$B$56),4)</f>
        <v>152</v>
      </c>
      <c r="D61" s="153" t="e">
        <f t="shared" si="0"/>
        <v>#VALUE!</v>
      </c>
      <c r="E61" s="153" t="e">
        <f t="shared" si="1"/>
        <v>#VALUE!</v>
      </c>
      <c r="F61" s="153">
        <f t="shared" si="18"/>
        <v>0</v>
      </c>
      <c r="G61" s="154" t="e">
        <f>IF(AND($B$56=2028,$X$5=TRUE),((D61*$J$24/30)+(E61*$L$24/30)+(F61*$N$24/30))*100/102,
(D61*$J$24/30)+(E61*$L$24/30)+(F61*$N$24/30))</f>
        <v>#VALUE!</v>
      </c>
      <c r="H61" s="155" t="e">
        <f t="shared" si="2"/>
        <v>#VALUE!</v>
      </c>
      <c r="I61" s="156" t="e">
        <f t="shared" si="24"/>
        <v>#VALUE!</v>
      </c>
      <c r="J61" s="155">
        <v>0</v>
      </c>
      <c r="K61" s="156" t="e">
        <f>IF(G61&gt;=Bmg2Jahr1,AGHBTR_Jahr1,IF('HR-LM (U2,U5FOD,U7)'!G61&gt;=Bmg1Jahr1,(RvBeitrJahr1*G61)+(AvBeitrJahr1*G61)+(U2UmlJahr1*G61)+HBetrKVJahr1+HBetrPVJahr1,AGBTR_Jahr1*G61))</f>
        <v>#VALUE!</v>
      </c>
      <c r="L61" s="156" t="e">
        <f t="shared" si="3"/>
        <v>#N/A</v>
      </c>
      <c r="M61" s="156" t="e">
        <f t="shared" si="4"/>
        <v>#VALUE!</v>
      </c>
      <c r="N61" s="156" t="e">
        <f t="shared" si="19"/>
        <v>#VALUE!</v>
      </c>
      <c r="O61" s="157"/>
      <c r="P61" s="667" t="s">
        <v>16</v>
      </c>
      <c r="Q61" s="668"/>
      <c r="R61" s="152">
        <f>EOMONTH(CONCATENATE("01.","01.",$P$56),4)</f>
        <v>517</v>
      </c>
      <c r="S61" s="153">
        <f t="shared" si="20"/>
        <v>0</v>
      </c>
      <c r="T61" s="153">
        <f t="shared" si="21"/>
        <v>0</v>
      </c>
      <c r="U61" s="153">
        <f t="shared" si="5"/>
        <v>0</v>
      </c>
      <c r="V61" s="677">
        <f>IF(AND($P$56=2028,$X$5=TRUE),((S61*$P$24/30)+(T61*$V$24/30)+(U61*$Z$24/30))*100/102,
(S61*$P$24/30)+(T61*$V$24/30)+(U61*$Z$24/30))</f>
        <v>0</v>
      </c>
      <c r="W61" s="678"/>
      <c r="X61" s="155" t="str">
        <f t="shared" si="6"/>
        <v/>
      </c>
      <c r="Y61" s="156">
        <f t="shared" si="7"/>
        <v>0</v>
      </c>
      <c r="Z61" s="155">
        <v>0</v>
      </c>
      <c r="AA61" s="156" t="e">
        <f>IF(V61&gt;=Bmg2Jahr2,AGHBTR_Jahr2,IF('HR-LM (U2,U5FOD,U7)'!V61&gt;=Bmg1Jahr2,(RvBeitrJahr2*V61)+(AvBeitrJahr2*V61)+(U2UmlJahr2*V61)+HBetrKVJahr2+HBetrPVJahr2,AGBTR_Jahr2*V61))</f>
        <v>#N/A</v>
      </c>
      <c r="AB61" s="156" t="e">
        <f t="shared" si="8"/>
        <v>#N/A</v>
      </c>
      <c r="AC61" s="156">
        <f t="shared" si="9"/>
        <v>0</v>
      </c>
      <c r="AD61" s="156" t="e">
        <f t="shared" si="22"/>
        <v>#N/A</v>
      </c>
      <c r="AE61" s="158"/>
      <c r="AF61" s="667" t="s">
        <v>16</v>
      </c>
      <c r="AG61" s="668"/>
      <c r="AH61" s="152">
        <f>EOMONTH(CONCATENATE("01.","01.",$AF$56),4)</f>
        <v>882</v>
      </c>
      <c r="AI61" s="153">
        <f t="shared" si="10"/>
        <v>0</v>
      </c>
      <c r="AJ61" s="153">
        <f t="shared" si="11"/>
        <v>0</v>
      </c>
      <c r="AK61" s="153">
        <f t="shared" si="12"/>
        <v>0</v>
      </c>
      <c r="AL61" s="677">
        <f t="shared" si="13"/>
        <v>0</v>
      </c>
      <c r="AM61" s="678"/>
      <c r="AN61" s="155" t="str">
        <f t="shared" si="14"/>
        <v/>
      </c>
      <c r="AO61" s="156">
        <f t="shared" si="15"/>
        <v>0</v>
      </c>
      <c r="AP61" s="155">
        <v>0</v>
      </c>
      <c r="AQ61" s="156" t="e">
        <f>IF(AL61&gt;=Bmg2Jahr3,AGHBTR_Jahr3,IF('HR-LM (U2,U5FOD,U7)'!AL61&gt;=Bmg1Jahr3,(RvBeitrJahr3*AL61)+(AvBeitrJahr3*AL61)+(U2UmlJahr3*AL61)+HBetrKVJahr3+HBetrPVJahr3,AGBTR_Jahr3*AL61))</f>
        <v>#N/A</v>
      </c>
      <c r="AR61" s="156" t="e">
        <f t="shared" si="16"/>
        <v>#N/A</v>
      </c>
      <c r="AS61" s="156">
        <f t="shared" si="17"/>
        <v>0</v>
      </c>
      <c r="AT61" s="156" t="e">
        <f t="shared" si="23"/>
        <v>#N/A</v>
      </c>
    </row>
    <row r="62" spans="2:46" x14ac:dyDescent="0.35">
      <c r="B62" s="151" t="s">
        <v>17</v>
      </c>
      <c r="C62" s="152">
        <f>EOMONTH(CONCATENATE("01.","01.",$B$56),5)</f>
        <v>182</v>
      </c>
      <c r="D62" s="153" t="e">
        <f t="shared" si="0"/>
        <v>#VALUE!</v>
      </c>
      <c r="E62" s="153" t="e">
        <f t="shared" si="1"/>
        <v>#VALUE!</v>
      </c>
      <c r="F62" s="153">
        <f t="shared" si="18"/>
        <v>0</v>
      </c>
      <c r="G62" s="154" t="e">
        <f>IF(AND($B$56=2028,$X$5=TRUE),((D62*$J$24/30)+(E62*$L$24/30)+(F62*$N$24/30))*100/102,
(D62*$J$24/30)+(E62*$L$24/30)+(F62*$N$24/30))</f>
        <v>#VALUE!</v>
      </c>
      <c r="H62" s="155" t="e">
        <f t="shared" si="2"/>
        <v>#VALUE!</v>
      </c>
      <c r="I62" s="156" t="e">
        <f t="shared" si="24"/>
        <v>#VALUE!</v>
      </c>
      <c r="J62" s="155">
        <v>0</v>
      </c>
      <c r="K62" s="156" t="e">
        <f>IF(G62&gt;=Bmg2Jahr1,AGHBTR_Jahr1,IF('HR-LM (U2,U5FOD,U7)'!G62&gt;=Bmg1Jahr1,(RvBeitrJahr1*G62)+(AvBeitrJahr1*G62)+(U2UmlJahr1*G62)+HBetrKVJahr1+HBetrPVJahr1,AGBTR_Jahr1*G62))</f>
        <v>#VALUE!</v>
      </c>
      <c r="L62" s="156" t="e">
        <f t="shared" si="3"/>
        <v>#N/A</v>
      </c>
      <c r="M62" s="156" t="e">
        <f t="shared" si="4"/>
        <v>#VALUE!</v>
      </c>
      <c r="N62" s="156" t="e">
        <f t="shared" si="19"/>
        <v>#VALUE!</v>
      </c>
      <c r="O62" s="157"/>
      <c r="P62" s="667" t="s">
        <v>17</v>
      </c>
      <c r="Q62" s="668"/>
      <c r="R62" s="152">
        <f>EOMONTH(CONCATENATE("01.","01.",$P$56),5)</f>
        <v>547</v>
      </c>
      <c r="S62" s="153">
        <f t="shared" si="20"/>
        <v>0</v>
      </c>
      <c r="T62" s="153">
        <f t="shared" si="21"/>
        <v>0</v>
      </c>
      <c r="U62" s="153">
        <f t="shared" si="5"/>
        <v>0</v>
      </c>
      <c r="V62" s="677">
        <f>IF(AND($P$56=2028,$X$5=TRUE),((S62*$P$24/30)+(T62*$V$24/30)+(U62*$Z$24/30))*100/102,
(S62*$P$24/30)+(T62*$V$24/30)+(U62*$Z$24/30))</f>
        <v>0</v>
      </c>
      <c r="W62" s="678"/>
      <c r="X62" s="155" t="str">
        <f t="shared" si="6"/>
        <v/>
      </c>
      <c r="Y62" s="156">
        <f t="shared" si="7"/>
        <v>0</v>
      </c>
      <c r="Z62" s="155">
        <v>0</v>
      </c>
      <c r="AA62" s="156" t="e">
        <f>IF(V62&gt;=Bmg2Jahr2,AGHBTR_Jahr2,IF('HR-LM (U2,U5FOD,U7)'!V62&gt;=Bmg1Jahr2,(RvBeitrJahr2*V62)+(AvBeitrJahr2*V62)+(U2UmlJahr2*V62)+HBetrKVJahr2+HBetrPVJahr2,AGBTR_Jahr2*V62))</f>
        <v>#N/A</v>
      </c>
      <c r="AB62" s="156" t="e">
        <f t="shared" si="8"/>
        <v>#N/A</v>
      </c>
      <c r="AC62" s="156">
        <f t="shared" si="9"/>
        <v>0</v>
      </c>
      <c r="AD62" s="156" t="e">
        <f t="shared" si="22"/>
        <v>#N/A</v>
      </c>
      <c r="AE62" s="158"/>
      <c r="AF62" s="667" t="s">
        <v>17</v>
      </c>
      <c r="AG62" s="668"/>
      <c r="AH62" s="152">
        <f>EOMONTH(CONCATENATE("01.","01.",$AF$56),5)</f>
        <v>912</v>
      </c>
      <c r="AI62" s="153">
        <f t="shared" si="10"/>
        <v>0</v>
      </c>
      <c r="AJ62" s="153">
        <f t="shared" si="11"/>
        <v>0</v>
      </c>
      <c r="AK62" s="153">
        <f t="shared" si="12"/>
        <v>0</v>
      </c>
      <c r="AL62" s="677">
        <f t="shared" si="13"/>
        <v>0</v>
      </c>
      <c r="AM62" s="678"/>
      <c r="AN62" s="155" t="str">
        <f t="shared" si="14"/>
        <v/>
      </c>
      <c r="AO62" s="156">
        <f t="shared" si="15"/>
        <v>0</v>
      </c>
      <c r="AP62" s="155">
        <v>0</v>
      </c>
      <c r="AQ62" s="156" t="e">
        <f>IF(AL62&gt;=Bmg2Jahr3,AGHBTR_Jahr3,IF('HR-LM (U2,U5FOD,U7)'!AL62&gt;=Bmg1Jahr3,(RvBeitrJahr3*AL62)+(AvBeitrJahr3*AL62)+(U2UmlJahr3*AL62)+HBetrKVJahr3+HBetrPVJahr3,AGBTR_Jahr3*AL62))</f>
        <v>#N/A</v>
      </c>
      <c r="AR62" s="156" t="e">
        <f t="shared" si="16"/>
        <v>#N/A</v>
      </c>
      <c r="AS62" s="156">
        <f t="shared" si="17"/>
        <v>0</v>
      </c>
      <c r="AT62" s="156" t="e">
        <f t="shared" si="23"/>
        <v>#N/A</v>
      </c>
    </row>
    <row r="63" spans="2:46" x14ac:dyDescent="0.35">
      <c r="B63" s="151" t="s">
        <v>18</v>
      </c>
      <c r="C63" s="152">
        <f>EOMONTH(CONCATENATE("01.","01.",$B$56),6)</f>
        <v>213</v>
      </c>
      <c r="D63" s="153" t="e">
        <f t="shared" si="0"/>
        <v>#VALUE!</v>
      </c>
      <c r="E63" s="153" t="e">
        <f t="shared" si="1"/>
        <v>#VALUE!</v>
      </c>
      <c r="F63" s="153">
        <f t="shared" si="18"/>
        <v>0</v>
      </c>
      <c r="G63" s="154" t="e">
        <f t="shared" ref="G63:G68" si="25">(D63*$J$24/30)+(E63*$L$24/30)+(F63*$N$24/30)</f>
        <v>#VALUE!</v>
      </c>
      <c r="H63" s="155" t="e">
        <f t="shared" si="2"/>
        <v>#VALUE!</v>
      </c>
      <c r="I63" s="156" t="e">
        <f t="shared" si="24"/>
        <v>#VALUE!</v>
      </c>
      <c r="J63" s="155">
        <v>0</v>
      </c>
      <c r="K63" s="156" t="e">
        <f>IF(G63&gt;=Bmg2Jahr1,AGHBTR_Jahr1,IF('HR-LM (U2,U5FOD,U7)'!G63&gt;=Bmg1Jahr1,(RvBeitrJahr1*G63)+(AvBeitrJahr1*G63)+(U2UmlJahr1*G63)+HBetrKVJahr1+HBetrPVJahr1,AGBTR_Jahr1*G63))</f>
        <v>#VALUE!</v>
      </c>
      <c r="L63" s="156" t="e">
        <f t="shared" si="3"/>
        <v>#N/A</v>
      </c>
      <c r="M63" s="156" t="e">
        <f t="shared" si="4"/>
        <v>#VALUE!</v>
      </c>
      <c r="N63" s="156" t="e">
        <f t="shared" si="19"/>
        <v>#VALUE!</v>
      </c>
      <c r="O63" s="157"/>
      <c r="P63" s="667" t="s">
        <v>18</v>
      </c>
      <c r="Q63" s="668"/>
      <c r="R63" s="152">
        <f>EOMONTH(CONCATENATE("01.","01.",$P$56),6)</f>
        <v>578</v>
      </c>
      <c r="S63" s="153">
        <f t="shared" si="20"/>
        <v>0</v>
      </c>
      <c r="T63" s="153">
        <f t="shared" si="21"/>
        <v>0</v>
      </c>
      <c r="U63" s="153">
        <f t="shared" si="5"/>
        <v>0</v>
      </c>
      <c r="V63" s="677">
        <f t="shared" ref="V63:V66" si="26">(S63*$P$24/30)+(T63*$V$24/30)+(U63*$Z$24/30)</f>
        <v>0</v>
      </c>
      <c r="W63" s="678"/>
      <c r="X63" s="155" t="str">
        <f t="shared" si="6"/>
        <v/>
      </c>
      <c r="Y63" s="156">
        <f t="shared" si="7"/>
        <v>0</v>
      </c>
      <c r="Z63" s="155">
        <v>0</v>
      </c>
      <c r="AA63" s="156" t="e">
        <f>IF(V63&gt;=Bmg2Jahr2,AGHBTR_Jahr2,IF('HR-LM (U2,U5FOD,U7)'!V63&gt;=Bmg1Jahr2,(RvBeitrJahr2*V63)+(AvBeitrJahr2*V63)+(U2UmlJahr2*V63)+HBetrKVJahr2+HBetrPVJahr2,AGBTR_Jahr2*V63))</f>
        <v>#N/A</v>
      </c>
      <c r="AB63" s="156" t="e">
        <f t="shared" si="8"/>
        <v>#N/A</v>
      </c>
      <c r="AC63" s="156">
        <f t="shared" si="9"/>
        <v>0</v>
      </c>
      <c r="AD63" s="156" t="e">
        <f t="shared" si="22"/>
        <v>#N/A</v>
      </c>
      <c r="AE63" s="158"/>
      <c r="AF63" s="667" t="s">
        <v>18</v>
      </c>
      <c r="AG63" s="668"/>
      <c r="AH63" s="152">
        <f>EOMONTH(CONCATENATE("01.","01.",$AF$56),6)</f>
        <v>943</v>
      </c>
      <c r="AI63" s="153">
        <f t="shared" si="10"/>
        <v>0</v>
      </c>
      <c r="AJ63" s="153">
        <f t="shared" si="11"/>
        <v>0</v>
      </c>
      <c r="AK63" s="153">
        <f t="shared" si="12"/>
        <v>0</v>
      </c>
      <c r="AL63" s="677">
        <f t="shared" ref="AL63:AL65" si="27">(AI63*$AB$24/30)+(AJ63*$AD$24/30)+(AK63*$AF$24/30)</f>
        <v>0</v>
      </c>
      <c r="AM63" s="678"/>
      <c r="AN63" s="155" t="str">
        <f t="shared" si="14"/>
        <v/>
      </c>
      <c r="AO63" s="156">
        <f t="shared" si="15"/>
        <v>0</v>
      </c>
      <c r="AP63" s="155">
        <v>0</v>
      </c>
      <c r="AQ63" s="156" t="e">
        <f>IF(AL63&gt;=Bmg2Jahr3,AGHBTR_Jahr3,IF('HR-LM (U2,U5FOD,U7)'!AL63&gt;=Bmg1Jahr3,(RvBeitrJahr3*AL63)+(AvBeitrJahr3*AL63)+(U2UmlJahr3*AL63)+HBetrKVJahr3+HBetrPVJahr3,AGBTR_Jahr3*AL63))</f>
        <v>#N/A</v>
      </c>
      <c r="AR63" s="156" t="e">
        <f t="shared" si="16"/>
        <v>#N/A</v>
      </c>
      <c r="AS63" s="156">
        <f t="shared" si="17"/>
        <v>0</v>
      </c>
      <c r="AT63" s="156" t="e">
        <f t="shared" si="23"/>
        <v>#N/A</v>
      </c>
    </row>
    <row r="64" spans="2:46" x14ac:dyDescent="0.35">
      <c r="B64" s="151" t="s">
        <v>19</v>
      </c>
      <c r="C64" s="152">
        <f>EOMONTH(CONCATENATE("01.","01.",$B$56),7)</f>
        <v>244</v>
      </c>
      <c r="D64" s="153" t="e">
        <f t="shared" si="0"/>
        <v>#VALUE!</v>
      </c>
      <c r="E64" s="153" t="e">
        <f t="shared" si="1"/>
        <v>#VALUE!</v>
      </c>
      <c r="F64" s="153">
        <f t="shared" si="18"/>
        <v>0</v>
      </c>
      <c r="G64" s="154" t="e">
        <f t="shared" si="25"/>
        <v>#VALUE!</v>
      </c>
      <c r="H64" s="155" t="e">
        <f t="shared" si="2"/>
        <v>#VALUE!</v>
      </c>
      <c r="I64" s="156" t="e">
        <f t="shared" si="24"/>
        <v>#VALUE!</v>
      </c>
      <c r="J64" s="155">
        <v>0</v>
      </c>
      <c r="K64" s="156" t="e">
        <f>IF(G64&gt;=Bmg2Jahr1,AGHBTR_Jahr1,IF('HR-LM (U2,U5FOD,U7)'!G64&gt;=Bmg1Jahr1,(RvBeitrJahr1*G64)+(AvBeitrJahr1*G64)+(U2UmlJahr1*G64)+HBetrKVJahr1+HBetrPVJahr1,AGBTR_Jahr1*G64))</f>
        <v>#VALUE!</v>
      </c>
      <c r="L64" s="156" t="e">
        <f t="shared" si="3"/>
        <v>#N/A</v>
      </c>
      <c r="M64" s="156" t="e">
        <f t="shared" si="4"/>
        <v>#VALUE!</v>
      </c>
      <c r="N64" s="156" t="e">
        <f t="shared" si="19"/>
        <v>#VALUE!</v>
      </c>
      <c r="O64" s="157"/>
      <c r="P64" s="667" t="s">
        <v>19</v>
      </c>
      <c r="Q64" s="668"/>
      <c r="R64" s="152">
        <f>EOMONTH(CONCATENATE("01.","01.",$P$56),7)</f>
        <v>609</v>
      </c>
      <c r="S64" s="153">
        <f t="shared" si="20"/>
        <v>0</v>
      </c>
      <c r="T64" s="153">
        <f t="shared" si="21"/>
        <v>0</v>
      </c>
      <c r="U64" s="153">
        <f t="shared" si="5"/>
        <v>0</v>
      </c>
      <c r="V64" s="677">
        <f t="shared" si="26"/>
        <v>0</v>
      </c>
      <c r="W64" s="678"/>
      <c r="X64" s="155" t="str">
        <f t="shared" si="6"/>
        <v/>
      </c>
      <c r="Y64" s="156">
        <f t="shared" si="7"/>
        <v>0</v>
      </c>
      <c r="Z64" s="155">
        <v>0</v>
      </c>
      <c r="AA64" s="156" t="e">
        <f>IF(V64&gt;=Bmg2Jahr2,AGHBTR_Jahr2,IF('HR-LM (U2,U5FOD,U7)'!V64&gt;=Bmg1Jahr2,(RvBeitrJahr2*V64)+(AvBeitrJahr2*V64)+(U2UmlJahr2*V64)+HBetrKVJahr2+HBetrPVJahr2,AGBTR_Jahr2*V64))</f>
        <v>#N/A</v>
      </c>
      <c r="AB64" s="156" t="e">
        <f t="shared" si="8"/>
        <v>#N/A</v>
      </c>
      <c r="AC64" s="156">
        <f t="shared" si="9"/>
        <v>0</v>
      </c>
      <c r="AD64" s="156" t="e">
        <f t="shared" si="22"/>
        <v>#N/A</v>
      </c>
      <c r="AE64" s="158"/>
      <c r="AF64" s="667" t="s">
        <v>19</v>
      </c>
      <c r="AG64" s="668"/>
      <c r="AH64" s="152">
        <f>EOMONTH(CONCATENATE("01.","01.",$AF$56),7)</f>
        <v>974</v>
      </c>
      <c r="AI64" s="153">
        <f t="shared" si="10"/>
        <v>0</v>
      </c>
      <c r="AJ64" s="153">
        <f t="shared" si="11"/>
        <v>0</v>
      </c>
      <c r="AK64" s="153">
        <f t="shared" si="12"/>
        <v>0</v>
      </c>
      <c r="AL64" s="677">
        <f t="shared" si="27"/>
        <v>0</v>
      </c>
      <c r="AM64" s="678"/>
      <c r="AN64" s="155" t="str">
        <f t="shared" si="14"/>
        <v/>
      </c>
      <c r="AO64" s="156">
        <f t="shared" si="15"/>
        <v>0</v>
      </c>
      <c r="AP64" s="155">
        <v>0</v>
      </c>
      <c r="AQ64" s="156" t="e">
        <f>IF(AL64&gt;=Bmg2Jahr3,AGHBTR_Jahr3,IF('HR-LM (U2,U5FOD,U7)'!AL64&gt;=Bmg1Jahr3,(RvBeitrJahr3*AL64)+(AvBeitrJahr3*AL64)+(U2UmlJahr3*AL64)+HBetrKVJahr3+HBetrPVJahr3,AGBTR_Jahr3*AL64))</f>
        <v>#N/A</v>
      </c>
      <c r="AR64" s="156" t="e">
        <f t="shared" si="16"/>
        <v>#N/A</v>
      </c>
      <c r="AS64" s="156">
        <f t="shared" si="17"/>
        <v>0</v>
      </c>
      <c r="AT64" s="156" t="e">
        <f t="shared" si="23"/>
        <v>#N/A</v>
      </c>
    </row>
    <row r="65" spans="2:46" x14ac:dyDescent="0.35">
      <c r="B65" s="151" t="s">
        <v>20</v>
      </c>
      <c r="C65" s="152">
        <f>EOMONTH(CONCATENATE("01.","01.",$B$56),8)</f>
        <v>274</v>
      </c>
      <c r="D65" s="153" t="e">
        <f t="shared" si="0"/>
        <v>#VALUE!</v>
      </c>
      <c r="E65" s="153" t="e">
        <f t="shared" si="1"/>
        <v>#VALUE!</v>
      </c>
      <c r="F65" s="153">
        <f t="shared" si="18"/>
        <v>0</v>
      </c>
      <c r="G65" s="154" t="e">
        <f t="shared" si="25"/>
        <v>#VALUE!</v>
      </c>
      <c r="H65" s="155" t="e">
        <f t="shared" si="2"/>
        <v>#VALUE!</v>
      </c>
      <c r="I65" s="156" t="e">
        <f t="shared" si="24"/>
        <v>#VALUE!</v>
      </c>
      <c r="J65" s="155">
        <v>0</v>
      </c>
      <c r="K65" s="156" t="e">
        <f>IF(G65&gt;=Bmg2Jahr1,AGHBTR_Jahr1,IF('HR-LM (U2,U5FOD,U7)'!G65&gt;=Bmg1Jahr1,(RvBeitrJahr1*G65)+(AvBeitrJahr1*G65)+(U2UmlJahr1*G65)+HBetrKVJahr1+HBetrPVJahr1,AGBTR_Jahr1*G65))</f>
        <v>#VALUE!</v>
      </c>
      <c r="L65" s="156" t="e">
        <f t="shared" si="3"/>
        <v>#N/A</v>
      </c>
      <c r="M65" s="156" t="e">
        <f t="shared" si="4"/>
        <v>#VALUE!</v>
      </c>
      <c r="N65" s="156" t="e">
        <f t="shared" si="19"/>
        <v>#VALUE!</v>
      </c>
      <c r="O65" s="157"/>
      <c r="P65" s="667" t="s">
        <v>20</v>
      </c>
      <c r="Q65" s="668"/>
      <c r="R65" s="152">
        <f>EOMONTH(CONCATENATE("01.","01.",$P$56),8)</f>
        <v>639</v>
      </c>
      <c r="S65" s="153">
        <f t="shared" si="20"/>
        <v>0</v>
      </c>
      <c r="T65" s="153">
        <f t="shared" si="21"/>
        <v>0</v>
      </c>
      <c r="U65" s="153">
        <f t="shared" si="5"/>
        <v>0</v>
      </c>
      <c r="V65" s="677">
        <f t="shared" si="26"/>
        <v>0</v>
      </c>
      <c r="W65" s="678"/>
      <c r="X65" s="155" t="str">
        <f t="shared" ref="X65:X68" si="28">IF(AND(SUM(S65:U65)=30,U65&gt;0),$Z$24*$Z$28,IF(AND(SUM(S65:U65)=30,T65&gt;0),$V$24*$V$28,IF(AND(SUM(S65:U65)=30,S65&gt;0),$P$24*$P$28,"")))</f>
        <v/>
      </c>
      <c r="Y65" s="156">
        <f t="shared" si="7"/>
        <v>0</v>
      </c>
      <c r="Z65" s="155">
        <v>0</v>
      </c>
      <c r="AA65" s="156" t="e">
        <f>IF(V65&gt;=Bmg2Jahr2,AGHBTR_Jahr2,IF('HR-LM (U2,U5FOD,U7)'!V65&gt;=Bmg1Jahr2,(RvBeitrJahr2*V65)+(AvBeitrJahr2*V65)+(U2UmlJahr2*V65)+HBetrKVJahr2+HBetrPVJahr2,AGBTR_Jahr2*V65))</f>
        <v>#N/A</v>
      </c>
      <c r="AB65" s="156" t="e">
        <f t="shared" si="8"/>
        <v>#N/A</v>
      </c>
      <c r="AC65" s="156">
        <f t="shared" si="9"/>
        <v>0</v>
      </c>
      <c r="AD65" s="156" t="e">
        <f t="shared" si="22"/>
        <v>#N/A</v>
      </c>
      <c r="AE65" s="158"/>
      <c r="AF65" s="667" t="s">
        <v>20</v>
      </c>
      <c r="AG65" s="668"/>
      <c r="AH65" s="152">
        <f>EOMONTH(CONCATENATE("01.","01.",$AF$56),8)</f>
        <v>1004</v>
      </c>
      <c r="AI65" s="153">
        <f t="shared" si="10"/>
        <v>0</v>
      </c>
      <c r="AJ65" s="153">
        <f t="shared" si="11"/>
        <v>0</v>
      </c>
      <c r="AK65" s="153">
        <f t="shared" si="12"/>
        <v>0</v>
      </c>
      <c r="AL65" s="677">
        <f t="shared" si="27"/>
        <v>0</v>
      </c>
      <c r="AM65" s="678"/>
      <c r="AN65" s="155" t="str">
        <f t="shared" si="14"/>
        <v/>
      </c>
      <c r="AO65" s="156">
        <f t="shared" si="15"/>
        <v>0</v>
      </c>
      <c r="AP65" s="155">
        <v>0</v>
      </c>
      <c r="AQ65" s="156" t="e">
        <f>IF(AL65&gt;=Bmg2Jahr3,AGHBTR_Jahr3,IF('HR-LM (U2,U5FOD,U7)'!AL65&gt;=Bmg1Jahr3,(RvBeitrJahr3*AL65)+(AvBeitrJahr3*AL65)+(U2UmlJahr3*AL65)+HBetrKVJahr3+HBetrPVJahr3,AGBTR_Jahr3*AL65))</f>
        <v>#N/A</v>
      </c>
      <c r="AR65" s="156" t="e">
        <f t="shared" si="16"/>
        <v>#N/A</v>
      </c>
      <c r="AS65" s="156">
        <f t="shared" si="17"/>
        <v>0</v>
      </c>
      <c r="AT65" s="156" t="e">
        <f t="shared" si="23"/>
        <v>#N/A</v>
      </c>
    </row>
    <row r="66" spans="2:46" x14ac:dyDescent="0.35">
      <c r="B66" s="151" t="s">
        <v>21</v>
      </c>
      <c r="C66" s="152">
        <f>EOMONTH(CONCATENATE("01.","01.",$B$56),9)</f>
        <v>305</v>
      </c>
      <c r="D66" s="153" t="e">
        <f t="shared" si="0"/>
        <v>#VALUE!</v>
      </c>
      <c r="E66" s="153" t="e">
        <f t="shared" si="1"/>
        <v>#VALUE!</v>
      </c>
      <c r="F66" s="153">
        <f t="shared" si="18"/>
        <v>0</v>
      </c>
      <c r="G66" s="154" t="e">
        <f t="shared" si="25"/>
        <v>#VALUE!</v>
      </c>
      <c r="H66" s="155" t="e">
        <f t="shared" si="2"/>
        <v>#VALUE!</v>
      </c>
      <c r="I66" s="156" t="e">
        <f t="shared" si="24"/>
        <v>#VALUE!</v>
      </c>
      <c r="J66" s="155">
        <v>0</v>
      </c>
      <c r="K66" s="156" t="e">
        <f>IF(G66&gt;=Bmg2Jahr1,AGHBTR_Jahr1,IF('HR-LM (U2,U5FOD,U7)'!G66&gt;=Bmg1Jahr1,(RvBeitrJahr1*G66)+(AvBeitrJahr1*G66)+(U2UmlJahr1*G66)+HBetrKVJahr1+HBetrPVJahr1,AGBTR_Jahr1*G66))</f>
        <v>#VALUE!</v>
      </c>
      <c r="L66" s="156" t="e">
        <f t="shared" si="3"/>
        <v>#N/A</v>
      </c>
      <c r="M66" s="156" t="e">
        <f t="shared" si="4"/>
        <v>#VALUE!</v>
      </c>
      <c r="N66" s="156" t="e">
        <f t="shared" si="19"/>
        <v>#VALUE!</v>
      </c>
      <c r="O66" s="157"/>
      <c r="P66" s="667" t="s">
        <v>21</v>
      </c>
      <c r="Q66" s="668"/>
      <c r="R66" s="152">
        <f>EOMONTH(CONCATENATE("01.","01.",$P$56),9)</f>
        <v>670</v>
      </c>
      <c r="S66" s="153">
        <f t="shared" si="20"/>
        <v>0</v>
      </c>
      <c r="T66" s="153">
        <f t="shared" si="21"/>
        <v>0</v>
      </c>
      <c r="U66" s="153">
        <f t="shared" si="5"/>
        <v>0</v>
      </c>
      <c r="V66" s="677">
        <f t="shared" si="26"/>
        <v>0</v>
      </c>
      <c r="W66" s="678"/>
      <c r="X66" s="155" t="str">
        <f t="shared" si="28"/>
        <v/>
      </c>
      <c r="Y66" s="156">
        <f t="shared" si="7"/>
        <v>0</v>
      </c>
      <c r="Z66" s="155">
        <v>0</v>
      </c>
      <c r="AA66" s="156" t="e">
        <f>IF(V66&gt;=Bmg2Jahr2,AGHBTR_Jahr2,IF('HR-LM (U2,U5FOD,U7)'!V66&gt;=Bmg1Jahr2,(RvBeitrJahr2*V66)+(AvBeitrJahr2*V66)+(U2UmlJahr2*V66)+HBetrKVJahr2+HBetrPVJahr2,AGBTR_Jahr2*V66))</f>
        <v>#N/A</v>
      </c>
      <c r="AB66" s="156" t="e">
        <f t="shared" si="8"/>
        <v>#N/A</v>
      </c>
      <c r="AC66" s="156">
        <f t="shared" si="9"/>
        <v>0</v>
      </c>
      <c r="AD66" s="156" t="e">
        <f t="shared" si="22"/>
        <v>#N/A</v>
      </c>
      <c r="AE66" s="158"/>
      <c r="AF66" s="667" t="s">
        <v>21</v>
      </c>
      <c r="AG66" s="668"/>
      <c r="AH66" s="152">
        <f>EOMONTH(CONCATENATE("01.","01.",$AF$56),9)</f>
        <v>1035</v>
      </c>
      <c r="AI66" s="153">
        <f t="shared" si="10"/>
        <v>0</v>
      </c>
      <c r="AJ66" s="153">
        <f t="shared" si="11"/>
        <v>0</v>
      </c>
      <c r="AK66" s="153">
        <f t="shared" si="12"/>
        <v>0</v>
      </c>
      <c r="AL66" s="677">
        <f t="shared" ref="AL66:AL68" si="29">(AI66*$AB$24/30)+(AJ66*$AD$24/30)+(AK66*$AF$24/30)</f>
        <v>0</v>
      </c>
      <c r="AM66" s="678"/>
      <c r="AN66" s="155" t="str">
        <f t="shared" si="14"/>
        <v/>
      </c>
      <c r="AO66" s="156">
        <f t="shared" si="15"/>
        <v>0</v>
      </c>
      <c r="AP66" s="155">
        <v>0</v>
      </c>
      <c r="AQ66" s="156" t="e">
        <f>IF(AL66&gt;=Bmg2Jahr3,AGHBTR_Jahr3,IF('HR-LM (U2,U5FOD,U7)'!AL66&gt;=Bmg1Jahr3,(RvBeitrJahr3*AL66)+(AvBeitrJahr3*AL66)+(U2UmlJahr3*AL66)+HBetrKVJahr3+HBetrPVJahr3,AGBTR_Jahr3*AL66))</f>
        <v>#N/A</v>
      </c>
      <c r="AR66" s="156" t="e">
        <f t="shared" si="16"/>
        <v>#N/A</v>
      </c>
      <c r="AS66" s="156">
        <f t="shared" si="17"/>
        <v>0</v>
      </c>
      <c r="AT66" s="156" t="e">
        <f t="shared" si="23"/>
        <v>#N/A</v>
      </c>
    </row>
    <row r="67" spans="2:46" x14ac:dyDescent="0.35">
      <c r="B67" s="151" t="s">
        <v>22</v>
      </c>
      <c r="C67" s="152">
        <f>EOMONTH(CONCATENATE("01.","01.",$B$56),10)</f>
        <v>335</v>
      </c>
      <c r="D67" s="153" t="e">
        <f t="shared" si="0"/>
        <v>#VALUE!</v>
      </c>
      <c r="E67" s="153" t="e">
        <f t="shared" si="1"/>
        <v>#VALUE!</v>
      </c>
      <c r="F67" s="153">
        <f t="shared" si="18"/>
        <v>0</v>
      </c>
      <c r="G67" s="154" t="e">
        <f t="shared" si="25"/>
        <v>#VALUE!</v>
      </c>
      <c r="H67" s="155" t="e">
        <f t="shared" si="2"/>
        <v>#VALUE!</v>
      </c>
      <c r="I67" s="156" t="e">
        <f t="shared" si="24"/>
        <v>#VALUE!</v>
      </c>
      <c r="J67" s="155">
        <f>IFERROR(IF(J29="ja",H70,IF($X$6=TRUE,H70,0)),0)</f>
        <v>0</v>
      </c>
      <c r="K67" s="156" t="e">
        <f>IF((G67)&gt;=Bmg2Jahr1,AGHBTR_Jahr1,IF((G67)&gt;=Bmg1Jahr1,(RvBeitrJahr1*(G67+J67))+(AvBeitrJahr1*(G67+J67))+(U2UmlJahr1*(G67+J67))+HBetrKVJahr1+HBetrPVJahr1,AGBTR_Jahr1*(G67+J67)))</f>
        <v>#VALUE!</v>
      </c>
      <c r="L67" s="156" t="e">
        <f t="shared" si="3"/>
        <v>#N/A</v>
      </c>
      <c r="M67" s="156" t="e">
        <f t="shared" si="4"/>
        <v>#VALUE!</v>
      </c>
      <c r="N67" s="156" t="e">
        <f t="shared" si="19"/>
        <v>#VALUE!</v>
      </c>
      <c r="O67" s="157"/>
      <c r="P67" s="667" t="s">
        <v>22</v>
      </c>
      <c r="Q67" s="668"/>
      <c r="R67" s="152">
        <f>EOMONTH(CONCATENATE("01.","01.",$P$56),10)</f>
        <v>700</v>
      </c>
      <c r="S67" s="153">
        <f t="shared" si="20"/>
        <v>0</v>
      </c>
      <c r="T67" s="153">
        <f t="shared" si="21"/>
        <v>0</v>
      </c>
      <c r="U67" s="153">
        <f t="shared" si="5"/>
        <v>0</v>
      </c>
      <c r="V67" s="677">
        <f t="shared" ref="V67:V68" si="30">(S67*$P$24/30)+(T67*$V$24/30)+(U67*$Z$24/30)</f>
        <v>0</v>
      </c>
      <c r="W67" s="678"/>
      <c r="X67" s="155" t="str">
        <f t="shared" si="28"/>
        <v/>
      </c>
      <c r="Y67" s="156">
        <f t="shared" si="7"/>
        <v>0</v>
      </c>
      <c r="Z67" s="155">
        <f>IFERROR(IF(P29="ja",X70,IF($X$6=TRUE,X70,0)),0)</f>
        <v>0</v>
      </c>
      <c r="AA67" s="156" t="e">
        <f>IF((V67)&gt;=Bmg2Jahr2,AGHBTR_Jahr2,IF((V67)&gt;=Bmg1Jahr2,(RvBeitrJahr2*(V67+Z67))+(AvBeitrJahr2*(V67+Z67))+(U2UmlJahr2*(V67+Z67))+HBetrKVJahr2+HBetrPVJahr2,AGBTR_Jahr2*(V67+Z67)))</f>
        <v>#N/A</v>
      </c>
      <c r="AB67" s="156" t="e">
        <f t="shared" si="8"/>
        <v>#N/A</v>
      </c>
      <c r="AC67" s="156">
        <f t="shared" si="9"/>
        <v>0</v>
      </c>
      <c r="AD67" s="156" t="e">
        <f t="shared" si="22"/>
        <v>#N/A</v>
      </c>
      <c r="AE67" s="158"/>
      <c r="AF67" s="667" t="s">
        <v>22</v>
      </c>
      <c r="AG67" s="668"/>
      <c r="AH67" s="152">
        <f>EOMONTH(CONCATENATE("01.","01.",$AF$56),10)</f>
        <v>1065</v>
      </c>
      <c r="AI67" s="153">
        <f t="shared" si="10"/>
        <v>0</v>
      </c>
      <c r="AJ67" s="153">
        <f t="shared" si="11"/>
        <v>0</v>
      </c>
      <c r="AK67" s="153">
        <f t="shared" si="12"/>
        <v>0</v>
      </c>
      <c r="AL67" s="677">
        <f t="shared" si="29"/>
        <v>0</v>
      </c>
      <c r="AM67" s="678"/>
      <c r="AN67" s="155" t="str">
        <f t="shared" si="14"/>
        <v/>
      </c>
      <c r="AO67" s="156">
        <f t="shared" si="15"/>
        <v>0</v>
      </c>
      <c r="AP67" s="155">
        <f>IFERROR(IF(AB29="ja",AN70,IF($X$6=TRUE,AN70,0)),0)</f>
        <v>0</v>
      </c>
      <c r="AQ67" s="156" t="e">
        <f>IF((AL67)&gt;=Bmg2Jahr3,AGHBTR_Jahr3,IF((AL67)&gt;=Bmg1Jahr3,(RvBeitrJahr3*(AL67+AP67))+(AvBeitrJahr3*(AL67+AP67))+(U2UmlJahr3*(AL67+AP67))+HBetrKVJahr3+HBetrPVJahr3,AGBTR_Jahr3*(AL67+AP67)))</f>
        <v>#N/A</v>
      </c>
      <c r="AR67" s="156" t="e">
        <f t="shared" si="16"/>
        <v>#N/A</v>
      </c>
      <c r="AS67" s="156">
        <f t="shared" si="17"/>
        <v>0</v>
      </c>
      <c r="AT67" s="156" t="e">
        <f t="shared" si="23"/>
        <v>#N/A</v>
      </c>
    </row>
    <row r="68" spans="2:46" x14ac:dyDescent="0.35">
      <c r="B68" s="151" t="s">
        <v>23</v>
      </c>
      <c r="C68" s="152">
        <f>EOMONTH(CONCATENATE("01.","01.",$B$56),11)</f>
        <v>366</v>
      </c>
      <c r="D68" s="153" t="e">
        <f t="shared" si="0"/>
        <v>#VALUE!</v>
      </c>
      <c r="E68" s="153" t="e">
        <f t="shared" si="1"/>
        <v>#VALUE!</v>
      </c>
      <c r="F68" s="153">
        <f t="shared" si="18"/>
        <v>0</v>
      </c>
      <c r="G68" s="154" t="e">
        <f t="shared" si="25"/>
        <v>#VALUE!</v>
      </c>
      <c r="H68" s="155" t="e">
        <f t="shared" si="2"/>
        <v>#VALUE!</v>
      </c>
      <c r="I68" s="156" t="e">
        <f t="shared" si="24"/>
        <v>#VALUE!</v>
      </c>
      <c r="J68" s="155">
        <v>0</v>
      </c>
      <c r="K68" s="156" t="e">
        <f>IF(G68&gt;=Bmg2Jahr1,AGHBTR_Jahr1,IF('HR-LM (U2,U5FOD,U7)'!G68&gt;=Bmg1Jahr1,(RvBeitrJahr1*G68)+(AvBeitrJahr1*G68)+(U2UmlJahr1*G68)+HBetrKVJahr1+HBetrPVJahr1,AGBTR_Jahr1*G68))</f>
        <v>#VALUE!</v>
      </c>
      <c r="L68" s="156" t="e">
        <f t="shared" si="3"/>
        <v>#N/A</v>
      </c>
      <c r="M68" s="156" t="e">
        <f t="shared" si="4"/>
        <v>#VALUE!</v>
      </c>
      <c r="N68" s="156" t="e">
        <f t="shared" si="19"/>
        <v>#VALUE!</v>
      </c>
      <c r="O68" s="157"/>
      <c r="P68" s="667" t="s">
        <v>23</v>
      </c>
      <c r="Q68" s="668"/>
      <c r="R68" s="152">
        <f>EOMONTH(CONCATENATE("01.","01.",$P$56),11)</f>
        <v>731</v>
      </c>
      <c r="S68" s="153">
        <f t="shared" si="20"/>
        <v>0</v>
      </c>
      <c r="T68" s="153">
        <f t="shared" si="21"/>
        <v>0</v>
      </c>
      <c r="U68" s="153">
        <f t="shared" si="5"/>
        <v>0</v>
      </c>
      <c r="V68" s="677">
        <f t="shared" si="30"/>
        <v>0</v>
      </c>
      <c r="W68" s="678"/>
      <c r="X68" s="155" t="str">
        <f t="shared" si="28"/>
        <v/>
      </c>
      <c r="Y68" s="156">
        <f t="shared" si="7"/>
        <v>0</v>
      </c>
      <c r="Z68" s="155">
        <v>0</v>
      </c>
      <c r="AA68" s="156" t="e">
        <f>IF(V68&gt;=Bmg2Jahr2,AGHBTR_Jahr2,IF('HR-LM (U2,U5FOD,U7)'!V68&gt;=Bmg1Jahr2,(RvBeitrJahr2*V68)+(AvBeitrJahr2*V68)+(U2UmlJahr2*V68)+HBetrKVJahr2+HBetrPVJahr2,AGBTR_Jahr2*V68))</f>
        <v>#N/A</v>
      </c>
      <c r="AB68" s="156" t="e">
        <f t="shared" si="8"/>
        <v>#N/A</v>
      </c>
      <c r="AC68" s="156">
        <f t="shared" si="9"/>
        <v>0</v>
      </c>
      <c r="AD68" s="156" t="e">
        <f t="shared" si="22"/>
        <v>#N/A</v>
      </c>
      <c r="AE68" s="158"/>
      <c r="AF68" s="667" t="s">
        <v>23</v>
      </c>
      <c r="AG68" s="668"/>
      <c r="AH68" s="152">
        <f>EOMONTH(CONCATENATE("01.","01.",$AF$56),11)</f>
        <v>1096</v>
      </c>
      <c r="AI68" s="153">
        <f t="shared" si="10"/>
        <v>0</v>
      </c>
      <c r="AJ68" s="153">
        <f t="shared" si="11"/>
        <v>0</v>
      </c>
      <c r="AK68" s="153">
        <f t="shared" si="12"/>
        <v>0</v>
      </c>
      <c r="AL68" s="677">
        <f t="shared" si="29"/>
        <v>0</v>
      </c>
      <c r="AM68" s="678"/>
      <c r="AN68" s="155" t="str">
        <f t="shared" si="14"/>
        <v/>
      </c>
      <c r="AO68" s="156">
        <f t="shared" si="15"/>
        <v>0</v>
      </c>
      <c r="AP68" s="155">
        <v>0</v>
      </c>
      <c r="AQ68" s="156" t="e">
        <f>IF(AL68&gt;=Bmg2Jahr3,AGHBTR_Jahr3,IF('HR-LM (U2,U5FOD,U7)'!AL68&gt;=Bmg1Jahr3,(RvBeitrJahr3*AL68)+(AvBeitrJahr3*AL68)+(U2UmlJahr3*AL68)+HBetrKVJahr3+HBetrPVJahr3,AGBTR_Jahr3*AL68))</f>
        <v>#N/A</v>
      </c>
      <c r="AR68" s="156" t="e">
        <f t="shared" si="16"/>
        <v>#N/A</v>
      </c>
      <c r="AS68" s="156">
        <f t="shared" si="17"/>
        <v>0</v>
      </c>
      <c r="AT68" s="156" t="e">
        <f t="shared" si="23"/>
        <v>#N/A</v>
      </c>
    </row>
    <row r="69" spans="2:46" ht="16.5" thickBot="1" x14ac:dyDescent="0.4">
      <c r="B69" s="159" t="s">
        <v>24</v>
      </c>
      <c r="C69" s="159"/>
      <c r="D69" s="159"/>
      <c r="E69" s="159"/>
      <c r="F69" s="159"/>
      <c r="G69" s="160" t="e">
        <f>SUM(G57:G68)</f>
        <v>#VALUE!</v>
      </c>
      <c r="H69" s="161"/>
      <c r="I69" s="161" t="e">
        <f t="shared" ref="I69" si="31">SUM(I57:I68)</f>
        <v>#VALUE!</v>
      </c>
      <c r="J69" s="161">
        <f t="shared" ref="J69:N69" si="32">SUM(J57:J68)</f>
        <v>0</v>
      </c>
      <c r="K69" s="161" t="e">
        <f t="shared" si="32"/>
        <v>#VALUE!</v>
      </c>
      <c r="L69" s="161" t="e">
        <f t="shared" si="32"/>
        <v>#N/A</v>
      </c>
      <c r="M69" s="161" t="e">
        <f t="shared" si="32"/>
        <v>#VALUE!</v>
      </c>
      <c r="N69" s="161" t="e">
        <f t="shared" si="32"/>
        <v>#VALUE!</v>
      </c>
      <c r="O69" s="149"/>
      <c r="P69" s="679" t="s">
        <v>24</v>
      </c>
      <c r="Q69" s="680"/>
      <c r="R69" s="162"/>
      <c r="S69" s="162"/>
      <c r="T69" s="162"/>
      <c r="U69" s="162"/>
      <c r="V69" s="775">
        <f>SUM(V57:V68)</f>
        <v>0</v>
      </c>
      <c r="W69" s="776"/>
      <c r="X69" s="163"/>
      <c r="Y69" s="163">
        <f t="shared" ref="Y69" si="33">SUM(Y57:Y68)</f>
        <v>0</v>
      </c>
      <c r="Z69" s="163">
        <f t="shared" ref="Z69:AD69" si="34">SUM(Z57:Z68)</f>
        <v>0</v>
      </c>
      <c r="AA69" s="163" t="e">
        <f t="shared" si="34"/>
        <v>#N/A</v>
      </c>
      <c r="AB69" s="163" t="e">
        <f t="shared" si="34"/>
        <v>#N/A</v>
      </c>
      <c r="AC69" s="163">
        <f t="shared" si="34"/>
        <v>0</v>
      </c>
      <c r="AD69" s="163" t="e">
        <f t="shared" si="34"/>
        <v>#N/A</v>
      </c>
      <c r="AF69" s="692" t="s">
        <v>24</v>
      </c>
      <c r="AG69" s="693"/>
      <c r="AH69" s="164"/>
      <c r="AI69" s="164"/>
      <c r="AJ69" s="164"/>
      <c r="AK69" s="164"/>
      <c r="AL69" s="696">
        <f>SUM(AL57:AL68)</f>
        <v>0</v>
      </c>
      <c r="AM69" s="697"/>
      <c r="AN69" s="165"/>
      <c r="AO69" s="165">
        <f t="shared" ref="AO69" si="35">SUM(AO57:AO68)</f>
        <v>0</v>
      </c>
      <c r="AP69" s="165">
        <f t="shared" ref="AP69:AT69" si="36">SUM(AP57:AP68)</f>
        <v>0</v>
      </c>
      <c r="AQ69" s="165" t="e">
        <f t="shared" si="36"/>
        <v>#N/A</v>
      </c>
      <c r="AR69" s="165" t="e">
        <f t="shared" si="36"/>
        <v>#N/A</v>
      </c>
      <c r="AS69" s="165">
        <f t="shared" si="36"/>
        <v>0</v>
      </c>
      <c r="AT69" s="165" t="e">
        <f t="shared" si="36"/>
        <v>#N/A</v>
      </c>
    </row>
    <row r="70" spans="2:46" ht="16.5" thickBot="1" x14ac:dyDescent="0.4">
      <c r="B70" s="137"/>
      <c r="C70" s="137"/>
      <c r="D70" s="137"/>
      <c r="E70" s="137"/>
      <c r="F70" s="137"/>
      <c r="G70" s="166" t="s">
        <v>25</v>
      </c>
      <c r="H70" s="167" t="e">
        <f>IF(AND(J29="ja",$X$6=TRUE),(AVERAGE(H63:H68))/12*COUNTIFS(G57:G68,"&gt;0"),IF(AND($X$6=TRUE,J29="nein"),(AVERAGE(H57:H68)/12)*COUNTIFS(G57:G68,"&gt;0"),IF(AND(OR($X$6="",$X$6=FALSE),J29="ja"),(AVERAGE(H63:H68))/12*COUNTIFS(G57:G68,"&gt;0"),0)))</f>
        <v>#VALUE!</v>
      </c>
      <c r="I70" s="167"/>
      <c r="J70" s="168">
        <f>IF(J67=0,0,J67/COUNTIFS(G57:G68,"&gt;0"))</f>
        <v>0</v>
      </c>
      <c r="O70" s="149"/>
      <c r="V70" s="685" t="s">
        <v>25</v>
      </c>
      <c r="W70" s="686"/>
      <c r="X70" s="167">
        <f>IF(AND(P29="ja",$X$6=TRUE),(AVERAGE(X63:X68))/12*COUNTIFS(V57:W68,"&gt;0"),IF(AND($X$6=TRUE,P29="nein"),(AVERAGE(X57:X68)/12)*COUNTIFS(V57:W68,"&gt;0"),IF(AND(OR($X$6="",$X$6=FALSE),P29="ja"),(AVERAGE(X63:X68))/12*COUNTIFS(V57:W68,"&gt;0"),0)))</f>
        <v>0</v>
      </c>
      <c r="Y70" s="167"/>
      <c r="Z70" s="168">
        <f>IF(Z67=0,0,Z67/COUNTIFS(V57:W68,"&gt;0"))</f>
        <v>0</v>
      </c>
      <c r="AL70" s="685" t="s">
        <v>25</v>
      </c>
      <c r="AM70" s="686"/>
      <c r="AN70" s="167">
        <f>IF(AND(AB29="ja",$X$6=TRUE),(AVERAGE(AN63:AN68))/12*COUNTIFS(AL57:AM68,"&gt;0"),IF(AND($X$6=TRUE,AB29="nein"),(AVERAGE(AN57:AN68)/12)*COUNTIFS(AL57:AM68,"&gt;0"),IF(AND(OR($X$6="",$X$6=FALSE),AB29="ja"),(AVERAGE(AN63:AN68))/12*COUNTIFS(AL57:AM68,"&gt;0"),0)))</f>
        <v>0</v>
      </c>
      <c r="AO70" s="167"/>
      <c r="AP70" s="168">
        <f>IF(AP67=0,0,AP67/COUNTIFS(AL57:AM68,"&gt;0"))</f>
        <v>0</v>
      </c>
    </row>
    <row r="71" spans="2:46" x14ac:dyDescent="0.35">
      <c r="N71" s="58" t="e">
        <f>G69*0.65</f>
        <v>#VALUE!</v>
      </c>
    </row>
    <row r="72" spans="2:46" ht="16.5" hidden="1" outlineLevel="1" thickBot="1" x14ac:dyDescent="0.4">
      <c r="B72" s="169" t="s">
        <v>107</v>
      </c>
      <c r="C72" s="169"/>
      <c r="D72" s="169"/>
      <c r="E72" s="169"/>
      <c r="F72" s="169"/>
      <c r="G72" s="170">
        <f>IFERROR((SUM(G57:G68)/COUNTIFS(G57:G68,"&gt;0")),0)</f>
        <v>0</v>
      </c>
      <c r="H72" s="171">
        <f>IFERROR((SUM(H58:H69)/COUNTIFS(H58:H69,"&gt;0")),0)</f>
        <v>0</v>
      </c>
      <c r="I72" s="171"/>
      <c r="J72" s="171">
        <f>IFERROR((SUM(J57:J68)/COUNTIFS(J57:J68,"&gt;0")),0)</f>
        <v>0</v>
      </c>
      <c r="K72" s="171">
        <f t="shared" ref="K72:N72" si="37">IFERROR((SUM(K57:K68)/COUNTIFS(K57:K68,"&gt;0")),0)</f>
        <v>0</v>
      </c>
      <c r="L72" s="171">
        <f t="shared" si="37"/>
        <v>0</v>
      </c>
      <c r="M72" s="171">
        <f t="shared" si="37"/>
        <v>0</v>
      </c>
      <c r="N72" s="171">
        <f t="shared" si="37"/>
        <v>0</v>
      </c>
      <c r="O72" s="149"/>
      <c r="P72" s="681" t="s">
        <v>103</v>
      </c>
      <c r="Q72" s="682"/>
      <c r="R72" s="172"/>
      <c r="S72" s="172"/>
      <c r="T72" s="172"/>
      <c r="U72" s="172"/>
      <c r="V72" s="683">
        <f>IFERROR((SUM(V57:W68)/COUNTIFS(V57:W68,"&gt;0")),0)</f>
        <v>0</v>
      </c>
      <c r="W72" s="684"/>
      <c r="X72" s="173" t="e">
        <f>IF($AD$8="ja",((AVERAGE(X58:X69))/12)*COUNTIFS(V58:W69,"&gt;0"),((AVERAGE(X64:X69))/12)*COUNTIFS(V58:W69,"&gt;0"))</f>
        <v>#DIV/0!</v>
      </c>
      <c r="Y72" s="173"/>
      <c r="Z72" s="171">
        <f>IFERROR((SUM(Z57:Z68)/COUNTIFS(Z57:Z68,"&gt;0")),0)</f>
        <v>0</v>
      </c>
      <c r="AA72" s="171">
        <f t="shared" ref="AA72:AD72" si="38">IFERROR((SUM(AA57:AA68)/COUNTIFS(AA57:AA68,"&gt;0")),0)</f>
        <v>0</v>
      </c>
      <c r="AB72" s="171">
        <f t="shared" si="38"/>
        <v>0</v>
      </c>
      <c r="AC72" s="171">
        <f t="shared" si="38"/>
        <v>0</v>
      </c>
      <c r="AD72" s="171">
        <f t="shared" si="38"/>
        <v>0</v>
      </c>
      <c r="AF72" s="681" t="s">
        <v>103</v>
      </c>
      <c r="AG72" s="682"/>
      <c r="AH72" s="172"/>
      <c r="AI72" s="172"/>
      <c r="AJ72" s="172"/>
      <c r="AK72" s="172"/>
      <c r="AL72" s="683">
        <f>IFERROR((SUM(AL57:AM68)/COUNTIFS(AL57:AM68,"&gt;0")),0)</f>
        <v>0</v>
      </c>
      <c r="AM72" s="684"/>
      <c r="AN72" s="173" t="e">
        <f>IF($AD$8="ja",((AVERAGE(AN58:AN69))/12)*COUNTIFS(AL58:AM69,"&gt;0"),((AVERAGE(AN64:AN69))/12)*COUNTIFS(AL58:AM69,"&gt;0"))</f>
        <v>#DIV/0!</v>
      </c>
      <c r="AO72" s="173"/>
      <c r="AP72" s="171">
        <f>IFERROR((SUM(AP57:AP68)/COUNTIFS(AP57:AP68,"&gt;0")),0)</f>
        <v>0</v>
      </c>
      <c r="AQ72" s="171">
        <f>IFERROR((SUM(AQ57:AQ68)/COUNTIFS(AQ57:AQ68,"&gt;0")),0)</f>
        <v>0</v>
      </c>
      <c r="AR72" s="171">
        <f>IFERROR((SUM(AR57:AR68)/COUNTIFS(AR57:AR68,"&gt;0")),0)</f>
        <v>0</v>
      </c>
      <c r="AS72" s="171">
        <f>IFERROR((SUM(AS57:AS68)/COUNTIFS(AS57:AS68,"&gt;0")),0)</f>
        <v>0</v>
      </c>
      <c r="AT72" s="171">
        <f>IFERROR((SUM(AT57:AT68)/COUNTIFS(AT57:AT68,"&gt;0")),0)</f>
        <v>0</v>
      </c>
    </row>
    <row r="73" spans="2:46" collapsed="1" x14ac:dyDescent="0.35">
      <c r="B73" s="137"/>
      <c r="C73" s="137"/>
      <c r="D73" s="137"/>
      <c r="E73" s="137"/>
      <c r="F73" s="137"/>
      <c r="G73" s="115"/>
      <c r="H73" s="174"/>
      <c r="I73" s="174"/>
      <c r="J73" s="175"/>
      <c r="O73" s="149"/>
      <c r="W73" s="115"/>
      <c r="X73" s="174"/>
      <c r="Y73" s="174"/>
      <c r="Z73" s="175"/>
      <c r="AL73" s="115"/>
      <c r="AM73" s="115"/>
      <c r="AN73" s="174"/>
      <c r="AO73" s="174"/>
      <c r="AP73" s="175"/>
    </row>
    <row r="74" spans="2:46" ht="16.5" thickBot="1" x14ac:dyDescent="0.4">
      <c r="O74" s="149"/>
    </row>
    <row r="75" spans="2:46" ht="16.5" thickBot="1" x14ac:dyDescent="0.4">
      <c r="B75" s="176" t="s">
        <v>59</v>
      </c>
      <c r="C75" s="177"/>
      <c r="D75" s="177"/>
      <c r="E75" s="177"/>
      <c r="F75" s="177"/>
      <c r="G75" s="178">
        <f>J37+L37+N37</f>
        <v>0</v>
      </c>
      <c r="H75" s="179"/>
      <c r="I75" s="174"/>
      <c r="J75" s="175"/>
      <c r="O75" s="149"/>
      <c r="P75" s="767" t="s">
        <v>59</v>
      </c>
      <c r="Q75" s="768"/>
      <c r="R75" s="180"/>
      <c r="S75" s="180"/>
      <c r="T75" s="180"/>
      <c r="U75" s="180"/>
      <c r="V75" s="769">
        <f>P37+V37+Z37</f>
        <v>0</v>
      </c>
      <c r="W75" s="770"/>
      <c r="X75" s="180"/>
      <c r="AC75" s="137"/>
      <c r="AD75" s="137"/>
      <c r="AF75" s="694" t="s">
        <v>59</v>
      </c>
      <c r="AG75" s="695"/>
      <c r="AH75" s="181"/>
      <c r="AI75" s="181"/>
      <c r="AJ75" s="181"/>
      <c r="AK75" s="181"/>
      <c r="AL75" s="700">
        <f>AB37+AD37+AF37</f>
        <v>0</v>
      </c>
      <c r="AM75" s="701"/>
    </row>
    <row r="76" spans="2:46" x14ac:dyDescent="0.35">
      <c r="B76" s="182">
        <f>AF56+1</f>
        <v>1903</v>
      </c>
      <c r="C76" s="179" t="s">
        <v>31</v>
      </c>
      <c r="D76" s="179" t="s">
        <v>32</v>
      </c>
      <c r="E76" s="179" t="s">
        <v>33</v>
      </c>
      <c r="F76" s="179" t="s">
        <v>34</v>
      </c>
      <c r="G76" s="179" t="s">
        <v>5</v>
      </c>
      <c r="H76" s="179" t="s">
        <v>6</v>
      </c>
      <c r="I76" s="179" t="s">
        <v>299</v>
      </c>
      <c r="J76" s="179" t="s">
        <v>7</v>
      </c>
      <c r="K76" s="179" t="s">
        <v>8</v>
      </c>
      <c r="L76" s="179" t="s">
        <v>9</v>
      </c>
      <c r="M76" s="179" t="s">
        <v>10</v>
      </c>
      <c r="N76" s="179" t="s">
        <v>11</v>
      </c>
      <c r="O76" s="157"/>
      <c r="P76" s="687">
        <f>B76+1</f>
        <v>1904</v>
      </c>
      <c r="Q76" s="688"/>
      <c r="R76" s="183" t="s">
        <v>31</v>
      </c>
      <c r="S76" s="183" t="s">
        <v>32</v>
      </c>
      <c r="T76" s="183" t="s">
        <v>33</v>
      </c>
      <c r="U76" s="183" t="s">
        <v>34</v>
      </c>
      <c r="V76" s="689" t="s">
        <v>5</v>
      </c>
      <c r="W76" s="688"/>
      <c r="X76" s="183" t="s">
        <v>6</v>
      </c>
      <c r="Y76" s="183" t="s">
        <v>299</v>
      </c>
      <c r="Z76" s="183" t="s">
        <v>7</v>
      </c>
      <c r="AA76" s="183" t="s">
        <v>8</v>
      </c>
      <c r="AB76" s="183" t="s">
        <v>9</v>
      </c>
      <c r="AC76" s="183" t="s">
        <v>10</v>
      </c>
      <c r="AD76" s="183" t="s">
        <v>11</v>
      </c>
      <c r="AE76" s="158"/>
      <c r="AF76" s="777">
        <f>P76+1</f>
        <v>1905</v>
      </c>
      <c r="AG76" s="778"/>
      <c r="AH76" s="430" t="s">
        <v>31</v>
      </c>
      <c r="AI76" s="430" t="s">
        <v>32</v>
      </c>
      <c r="AJ76" s="430" t="s">
        <v>33</v>
      </c>
      <c r="AK76" s="430" t="s">
        <v>34</v>
      </c>
      <c r="AL76" s="698" t="s">
        <v>5</v>
      </c>
      <c r="AM76" s="699"/>
      <c r="AN76" s="185" t="s">
        <v>6</v>
      </c>
      <c r="AO76" s="185" t="s">
        <v>299</v>
      </c>
      <c r="AP76" s="185" t="s">
        <v>7</v>
      </c>
      <c r="AQ76" s="185" t="s">
        <v>8</v>
      </c>
      <c r="AR76" s="185" t="s">
        <v>9</v>
      </c>
      <c r="AS76" s="185" t="s">
        <v>10</v>
      </c>
      <c r="AT76" s="185" t="s">
        <v>11</v>
      </c>
    </row>
    <row r="77" spans="2:46" x14ac:dyDescent="0.35">
      <c r="B77" s="151" t="s">
        <v>12</v>
      </c>
      <c r="C77" s="152">
        <f>EOMONTH(CONCATENATE("01.","01.",$B$76),0)</f>
        <v>1127</v>
      </c>
      <c r="D77" s="153">
        <f>IF($J$36="",0,IF(AND(DAY($J$36)&gt;1,MONTH(C77)=MONTH($J$36)),$K$37,IF(AND(C77&gt;=$J$36,C77&lt;=$K$36),30,IF((MONTH(C77)=MONTH($K$36)),DAY($K$36),0))))</f>
        <v>0</v>
      </c>
      <c r="E77" s="153">
        <f>IF($L$36="",0,IF(C77&lt;$L$36,0,IF(AND(MONTH($L$36)=MONTH($M$36),MONTH(C77)=MONTH($M$36)),$M$37,IF(AND(MONTH($L$36)&lt;&gt;MONTH($M$36),MONTH(C77)=MONTH($L$36)),$M$37,IF(AND(D77&gt;0,DAY($J$36)&gt;1,MONTH($J$36)=MONTH($K$36)),30-D77-DAY($J$36)+1,IF(AND(D77&gt;0,DAY($J$36)&gt;1),30-D77,(IF(D77&gt;0,30-D77,IF(AND(C77&gt;=$L$36,C77&lt;=$M$36),30,IF((MONTH(C77)=MONTH($M$36)),DAY($M$36),0))))))))))</f>
        <v>0</v>
      </c>
      <c r="F77" s="153">
        <f>IF($N$36="",0,IF(C77&lt;$N$36,0,IF(AND(MONTH($N$36)=MONTH($O$36),MONTH(C77)=MONTH($O$36)),$O$37,IF(AND(MONTH($N$36)&lt;&gt;MONTH($O$36),MONTH(C77)=MONTH($N$36)),$O$37,IF(AND(E77&gt;0,MONTH($N$36)=MONTH($M$36)),30-DAY($M$36),(IF(E77&gt;0,30-D77-E77,IF(AND(C77&gt;=$N$36,C77&lt;=$O$36),30,IF((MONTH(C77)=MONTH($O$36)),DAY($O$36),0)))))))))</f>
        <v>0</v>
      </c>
      <c r="G77" s="154">
        <f>(D77*$J$38/30)+(E77*$L$38/30)+(F77*$N$38/30)</f>
        <v>0</v>
      </c>
      <c r="H77" s="155" t="str">
        <f t="shared" ref="H77:H85" si="39">IF(AND(SUM(D77:F77)=30,F77&gt;0),$N$38*$N$42,IF(AND(SUM(D77:F77)=30,E77&gt;0),$L$38*$L$42,IF(AND(SUM(D77:F77)=30,D77&gt;0),$J$38*$J$42,"")))</f>
        <v/>
      </c>
      <c r="I77" s="156">
        <f t="shared" ref="I77:I88" si="40">IF(AND($X$9=TRUE,G77&gt;0),(MZJahr4*$O$10),0)</f>
        <v>0</v>
      </c>
      <c r="J77" s="155">
        <v>0</v>
      </c>
      <c r="K77" s="156" t="e">
        <f>IF(G77&gt;=Bmg2Jahr4,AGHBTR_Jahr4,IF('HR-LM (U2,U5FOD,U7)'!G77&gt;=Bmg1Jahr4,(RvBeitrJahr4*G77)+(AvBeitrJahr4*G77)+(U2UmlJahr4*G77)+HBetrKVJahr4+HBetrPVJahr4,AGBTR_Jahr4*G77))</f>
        <v>#N/A</v>
      </c>
      <c r="L77" s="156" t="e">
        <f t="shared" ref="L77:L88" si="41">IF($X$8=TRUE,VZunbDM1*(G77+J77+K77+I77-U2UmlJahr1*(G77+J77)),VzDmJahr1*(G77+J77))</f>
        <v>#N/A</v>
      </c>
      <c r="M77" s="156">
        <f t="shared" ref="M77:M88" si="42">IF(G77&gt;0,(LukJahr4*$W$6),0)</f>
        <v>0</v>
      </c>
      <c r="N77" s="156" t="e">
        <f>SUM(G77,J77,K77,L77,M77+I77)</f>
        <v>#N/A</v>
      </c>
      <c r="O77" s="157"/>
      <c r="P77" s="667" t="s">
        <v>12</v>
      </c>
      <c r="Q77" s="668"/>
      <c r="R77" s="152">
        <f>EOMONTH(CONCATENATE("01.","01.",$P$76),0)</f>
        <v>1492</v>
      </c>
      <c r="S77" s="153">
        <f>IF($P$36="",0,IF(AND(DAY($P$36)&gt;1,MONTH(R77)=MONTH($P$36)),$Q$37,IF(AND(R77&gt;=$P$36,R77&lt;=$Q$36),30,IF((MONTH(R77)=MONTH($Q$36)),DAY($Q$36),0))))</f>
        <v>0</v>
      </c>
      <c r="T77" s="153">
        <f>IF($V$36="",0,IF(R77&lt;$V$36,0,IF(AND(MONTH($V$36)=MONTH($W$36),MONTH(R77)=MONTH($W$36)),$W$37,IF(AND(MONTH($V$36)&lt;&gt;MONTH($W$36),MONTH(R77)=MONTH($V$36)),$W$37,IF(AND(S77&gt;0,DAY($P$36)&gt;1,MONTH($P$36)=MONTH($Q$36)),30-S77-DAY($P$36)+1,IF(AND(S77&gt;0,DAY($P$36)&gt;1),30-S77,(IF(S77&gt;0,30-S77,IF(AND(R77&gt;=$V$36,R77&lt;=$W$36),30,IF((MONTH(R77)=MONTH($W$36)),DAY($W$36),0))))))))))</f>
        <v>0</v>
      </c>
      <c r="U77" s="153">
        <f t="shared" ref="U77:U88" si="43">IF($Z$36="",0,IF(R77&lt;$Z$36,0,IF(AND(MONTH($Z$36)=MONTH($AA$36),MONTH(R77)=MONTH($AA$36)),$AA$37,IF(AND(MONTH($Z$36)&lt;&gt;MONTH($AA$36),MONTH(R77)=MONTH($Z$36)),$AA$37,IF(AND(T77&gt;0,MONTH($Z$36)=MONTH($W$36)),30-DAY($W$36),(IF(T77&gt;0,30-S77-T77,IF(AND(R77&gt;=$Z$36,R77&lt;=$AA$36),30,IF((MONTH(R77)=MONTH($AA$36)),DAY($AA$36),0)))))))))</f>
        <v>0</v>
      </c>
      <c r="V77" s="677">
        <f t="shared" ref="V77:V88" si="44">(S77*$P$38/30)+(T77*$V$38/30)+(U77*$Z$38/30)</f>
        <v>0</v>
      </c>
      <c r="W77" s="678"/>
      <c r="X77" s="155" t="str">
        <f t="shared" ref="X77:X85" si="45">IF(AND(SUM(S77:U77)=30,U77&gt;0),$Z$38*$Z$42,IF(AND(SUM(S77:U77)=30,T77&gt;0),$V$38*$V$42,IF(AND(SUM(S77:U77)=30,S77&gt;0),$P$38*$P$42,"")))</f>
        <v/>
      </c>
      <c r="Y77" s="156">
        <f t="shared" ref="Y77:Y88" si="46">IF(AND($X$9=TRUE,V77&gt;0),(MZJahr5*$O$10),0)</f>
        <v>0</v>
      </c>
      <c r="Z77" s="155">
        <v>0</v>
      </c>
      <c r="AA77" s="156" t="e">
        <f>IF(V77&gt;=Bmg2Jahr5,AGHBTR_Jahr5,IF('HR-LM (U2,U5FOD,U7)'!V77&gt;=Bmg1Jahr5,(RvBeitrJahr5*V77)+(AvBeitrJahr5*V77)+(U2UmlJahr5*V77)+HBetrKVJahr5+HBetrPVJahr5,AGBTR_Jahr5*V77))</f>
        <v>#N/A</v>
      </c>
      <c r="AB77" s="156" t="e">
        <f t="shared" ref="AB77:AB88" si="47">IF($X$8=TRUE,VZunbDM1*(U77+Y77+Z77+AA77-U2UmlJahr1*(V77+Z77)),VzDmJahr1*(V77+Z77))</f>
        <v>#N/A</v>
      </c>
      <c r="AC77" s="156">
        <f t="shared" ref="AC77:AC88" si="48">IF(V77&gt;0,(LukJahr5*$W$6),0)</f>
        <v>0</v>
      </c>
      <c r="AD77" s="156" t="e">
        <f>SUM(V77,Z77,AA77,AB77,AC77+Y77)</f>
        <v>#N/A</v>
      </c>
      <c r="AE77" s="158"/>
      <c r="AF77" s="667" t="s">
        <v>12</v>
      </c>
      <c r="AG77" s="668"/>
      <c r="AH77" s="152">
        <f>EOMONTH(CONCATENATE("01.","01.",$AF$76),0)</f>
        <v>1858</v>
      </c>
      <c r="AI77" s="153">
        <f t="shared" ref="AI77:AI88" si="49">IF($AB$36="",0,IF(AND(DAY($AB$36)&gt;1,MONTH(AH77)=MONTH($AB$36)),$AC$37,IF(AND(AH77&gt;=$AB$36,AH77&lt;=$AC$36),30,IF((MONTH(AH77)=MONTH($AC$36)),DAY($AC$36),0))))</f>
        <v>0</v>
      </c>
      <c r="AJ77" s="153">
        <f t="shared" ref="AJ77:AJ88" si="50">IF($AD$36="",0,IF(AH77&lt;$AD$36,0,IF(AND(MONTH($AD$36)=MONTH($AE$36),MONTH(AH77)=MONTH($AE$36)),$AE$37,IF(AND(MONTH($AD$36)&lt;&gt;MONTH($AE$36),MONTH(AH77)=MONTH($AD$36)),$AE$37,IF(AND(AI77&gt;0,DAY($AB$36)&gt;1,MONTH($AB$36)=MONTH($AC$36)),30-AI77-DAY($AB$36)+1,IF(AND(AI77&gt;0,DAY($AB$36)&gt;1),30-AI77,(IF(AI77&gt;0,30-AI77,IF(AND(AH77&gt;=$AD$36,AH77&lt;=$AE$36),30,IF((MONTH(AH77)=MONTH($AE$36)),DAY($AE$36),0))))))))))</f>
        <v>0</v>
      </c>
      <c r="AK77" s="153">
        <f t="shared" ref="AK77:AK88" si="51">IF($AF$36="",0,IF(AH77&lt;$AF$36,0,IF(AND(MONTH($AF$36)=MONTH($AG$36),MONTH(AH77)=MONTH($AG$36)),$AG$37,IF(AND(MONTH($AF$36)&lt;&gt;MONTH($AG$36),MONTH(AH77)=MONTH($AF$36)),$AG$37,IF(AND(AJ77&gt;0,MONTH($AF$36)=MONTH($AE$36)),30-DAY($AE$36),(IF(AJ77&gt;0,30-AI77-AJ77,IF(AND(AH77&gt;=$AF$36,AH77&lt;=$AG$36),30,IF((MONTH(AH77)=MONTH($AG$36)),DAY($AG$36),0)))))))))</f>
        <v>0</v>
      </c>
      <c r="AL77" s="677">
        <f t="shared" ref="AL77:AL88" si="52">(AI77*$AB$38/30)+(AJ77*$AD$38/30)+(AK77*$AF$38/30)</f>
        <v>0</v>
      </c>
      <c r="AM77" s="678"/>
      <c r="AN77" s="155" t="str">
        <f t="shared" ref="AN77:AN88" si="53">IF(AND(SUM(AI77:AK77)=30,AK77&gt;0),$AF$38*$AF$42,IF(AND(SUM(AI77:AK77)=30,AJ77&gt;0),$AD$38*$AD$42,IF(AND(SUM(AI77:AK77)=30,AI77&gt;0),$AB$38*$AB$42,"")))</f>
        <v/>
      </c>
      <c r="AO77" s="156">
        <f t="shared" ref="AO77:AO88" si="54">IF(AND($X$9=TRUE,AL77&gt;0),(MZJahr6*$O$10),0)</f>
        <v>0</v>
      </c>
      <c r="AP77" s="155">
        <v>0</v>
      </c>
      <c r="AQ77" s="156" t="e">
        <f>IF(AL77&gt;=Bmg2Jahr6,AGHBTR_Jahr6,IF('HR-LM (U2,U5FOD,U7)'!AL77&gt;=Bmg1Jahr6,(RvBeitrJahr6*AL77)+(AvBeitrJahr6*AL77)+(U2UmlJahr6*AL77)+HBetrKVJahr6+HBetrPVJahr6,AGBTR_Jahr6*AL77))</f>
        <v>#N/A</v>
      </c>
      <c r="AR77" s="156" t="e">
        <f t="shared" ref="AR77:AR88" si="55">IF($X$8=TRUE,VZunbDM1*(AK77+AO77+AP77+AQ77-U2UmlJahr1*(AL77+AP77)),VzDmJahr1*(AL77+AP77))</f>
        <v>#N/A</v>
      </c>
      <c r="AS77" s="156">
        <f t="shared" ref="AS77:AS88" si="56">IF(AL77&gt;0,(LukJahr6*$W$6),0)</f>
        <v>0</v>
      </c>
      <c r="AT77" s="156" t="e">
        <f>SUM(AL77,AP77,AQ77,AR77,AS77+AO77)</f>
        <v>#N/A</v>
      </c>
    </row>
    <row r="78" spans="2:46" x14ac:dyDescent="0.35">
      <c r="B78" s="151" t="s">
        <v>13</v>
      </c>
      <c r="C78" s="152">
        <f>EOMONTH(CONCATENATE("01.","01.",$B$76),1)</f>
        <v>1155</v>
      </c>
      <c r="D78" s="153">
        <f t="shared" ref="D78:D88" si="57">IF($J$36="",0,IF(AND(DAY($J$36)&gt;1,MONTH(C78)=MONTH($J$36)),$K$37,IF(AND(C78&gt;=$J$36,C78&lt;=$K$36),30,IF((MONTH(C78)=MONTH($K$36)),DAY($K$36),0))))</f>
        <v>0</v>
      </c>
      <c r="E78" s="153">
        <f t="shared" ref="E78:E88" si="58">IF($L$36="",0,IF(C78&lt;$L$36,0,IF(AND(MONTH($L$36)=MONTH($M$36),MONTH(C78)=MONTH($M$36)),$M$37,IF(AND(MONTH($L$36)&lt;&gt;MONTH($M$36),MONTH(C78)=MONTH($L$36)),$M$37,IF(AND(D78&gt;0,DAY($J$36)&gt;1,MONTH($J$36)=MONTH($K$36)),30-D78-DAY($J$36)+1,IF(AND(D78&gt;0,DAY($J$36)&gt;1),30-D78,(IF(D78&gt;0,30-D78,IF(AND(C78&gt;=$L$36,C78&lt;=$M$36),30,IF((MONTH(C78)=MONTH($M$36)),DAY($M$36),0))))))))))</f>
        <v>0</v>
      </c>
      <c r="F78" s="153">
        <f t="shared" ref="F78:F88" si="59">IF($N$36="",0,IF(C78&lt;$N$36,0,IF(AND(MONTH($N$36)=MONTH($O$36),MONTH(C78)=MONTH($O$36)),$O$37,IF(AND(MONTH($N$36)&lt;&gt;MONTH($O$36),MONTH(C78)=MONTH($N$36)),$O$37,IF(AND(E78&gt;0,MONTH($N$36)=MONTH($M$36)),30-DAY($M$36),(IF(E78&gt;0,30-D78-E78,IF(AND(C78&gt;=$N$36,C78&lt;=$O$36),30,IF((MONTH(C78)=MONTH($O$36)),DAY($O$36),0)))))))))</f>
        <v>0</v>
      </c>
      <c r="G78" s="154">
        <f t="shared" ref="G78:G88" si="60">(D78*$J$38/30)+(E78*$L$38/30)+(F78*$N$38/30)</f>
        <v>0</v>
      </c>
      <c r="H78" s="155" t="str">
        <f t="shared" si="39"/>
        <v/>
      </c>
      <c r="I78" s="156">
        <f t="shared" si="40"/>
        <v>0</v>
      </c>
      <c r="J78" s="155">
        <v>0</v>
      </c>
      <c r="K78" s="156" t="e">
        <f>IF(G78&gt;=Bmg2Jahr4,AGHBTR_Jahr4,IF('HR-LM (U2,U5FOD,U7)'!G78&gt;=Bmg1Jahr4,(RvBeitrJahr4*G78)+(AvBeitrJahr4*G78)+(U2UmlJahr4*G78)+HBetrKVJahr4+HBetrPVJahr4,AGBTR_Jahr4*G78))</f>
        <v>#N/A</v>
      </c>
      <c r="L78" s="156" t="e">
        <f t="shared" si="41"/>
        <v>#N/A</v>
      </c>
      <c r="M78" s="156">
        <f t="shared" si="42"/>
        <v>0</v>
      </c>
      <c r="N78" s="156" t="e">
        <f t="shared" ref="N78:N88" si="61">SUM(G78,J78,K78,L78,M78+I78)</f>
        <v>#N/A</v>
      </c>
      <c r="O78" s="186"/>
      <c r="P78" s="667" t="s">
        <v>13</v>
      </c>
      <c r="Q78" s="668"/>
      <c r="R78" s="152">
        <f>EOMONTH(CONCATENATE("01.","01.",$P$76),1)</f>
        <v>1521</v>
      </c>
      <c r="S78" s="153">
        <f t="shared" ref="S78:S88" si="62">IF($P$36="",0,IF(AND(DAY($P$36)&gt;1,MONTH(R78)=MONTH($P$36)),$Q$37,IF(AND(R78&gt;=$P$36,R78&lt;=$Q$36),30,IF((MONTH(R78)=MONTH($Q$36)),DAY($Q$36),0))))</f>
        <v>0</v>
      </c>
      <c r="T78" s="153">
        <f t="shared" ref="T78:T88" si="63">IF($V$36="",0,IF(R78&lt;$V$36,0,IF(AND(MONTH($V$36)=MONTH($W$36),MONTH(R78)=MONTH($W$36)),$W$37,IF(AND(MONTH($V$36)&lt;&gt;MONTH($W$36),MONTH(R78)=MONTH($V$36)),$W$37,IF(AND(S78&gt;0,DAY($P$36)&gt;1,MONTH($P$36)=MONTH($Q$36)),30-S78-DAY($P$36)+1,IF(AND(S78&gt;0,DAY($P$36)&gt;1),30-S78,(IF(S78&gt;0,30-S78,IF(AND(R78&gt;=$V$36,R78&lt;=$W$36),30,IF((MONTH(R78)=MONTH($W$36)),DAY($W$36),0))))))))))</f>
        <v>0</v>
      </c>
      <c r="U78" s="153">
        <f t="shared" si="43"/>
        <v>0</v>
      </c>
      <c r="V78" s="677">
        <f t="shared" si="44"/>
        <v>0</v>
      </c>
      <c r="W78" s="678"/>
      <c r="X78" s="155" t="str">
        <f t="shared" si="45"/>
        <v/>
      </c>
      <c r="Y78" s="156">
        <f t="shared" si="46"/>
        <v>0</v>
      </c>
      <c r="Z78" s="155">
        <v>0</v>
      </c>
      <c r="AA78" s="156" t="e">
        <f>IF(V78&gt;=Bmg2Jahr5,AGHBTR_Jahr5,IF('HR-LM (U2,U5FOD,U7)'!V78&gt;=Bmg1Jahr5,(RvBeitrJahr5*V78)+(AvBeitrJahr5*V78)+(U2UmlJahr5*V78)+HBetrKVJahr5+HBetrPVJahr5,AGBTR_Jahr5*V78))</f>
        <v>#N/A</v>
      </c>
      <c r="AB78" s="156" t="e">
        <f t="shared" si="47"/>
        <v>#N/A</v>
      </c>
      <c r="AC78" s="156">
        <f t="shared" si="48"/>
        <v>0</v>
      </c>
      <c r="AD78" s="156" t="e">
        <f t="shared" ref="AD78:AD88" si="64">SUM(V78,Z78,AA78,AB78,AC78+Y78)</f>
        <v>#N/A</v>
      </c>
      <c r="AE78" s="158"/>
      <c r="AF78" s="667" t="s">
        <v>13</v>
      </c>
      <c r="AG78" s="668"/>
      <c r="AH78" s="152">
        <f>EOMONTH(CONCATENATE("01.","01.",$AF$76),1)</f>
        <v>1886</v>
      </c>
      <c r="AI78" s="153">
        <f t="shared" si="49"/>
        <v>0</v>
      </c>
      <c r="AJ78" s="153">
        <f t="shared" si="50"/>
        <v>0</v>
      </c>
      <c r="AK78" s="153">
        <f t="shared" si="51"/>
        <v>0</v>
      </c>
      <c r="AL78" s="677">
        <f t="shared" si="52"/>
        <v>0</v>
      </c>
      <c r="AM78" s="678"/>
      <c r="AN78" s="155" t="str">
        <f t="shared" si="53"/>
        <v/>
      </c>
      <c r="AO78" s="156">
        <f t="shared" si="54"/>
        <v>0</v>
      </c>
      <c r="AP78" s="155">
        <v>0</v>
      </c>
      <c r="AQ78" s="156" t="e">
        <f>IF(AL78&gt;=Bmg2Jahr6,AGHBTR_Jahr6,IF('HR-LM (U2,U5FOD,U7)'!AL78&gt;=Bmg1Jahr6,(RvBeitrJahr6*AL78)+(AvBeitrJahr6*AL78)+(U2UmlJahr6*AL78)+HBetrKVJahr6+HBetrPVJahr6,AGBTR_Jahr6*AL78))</f>
        <v>#N/A</v>
      </c>
      <c r="AR78" s="156" t="e">
        <f t="shared" si="55"/>
        <v>#N/A</v>
      </c>
      <c r="AS78" s="156">
        <f t="shared" si="56"/>
        <v>0</v>
      </c>
      <c r="AT78" s="156" t="e">
        <f t="shared" ref="AT78:AT88" si="65">SUM(AL78,AP78,AQ78,AR78,AS78+AO78)</f>
        <v>#N/A</v>
      </c>
    </row>
    <row r="79" spans="2:46" x14ac:dyDescent="0.35">
      <c r="B79" s="151" t="s">
        <v>14</v>
      </c>
      <c r="C79" s="152">
        <f>EOMONTH(CONCATENATE("01.","01.",$B$76),2)</f>
        <v>1186</v>
      </c>
      <c r="D79" s="153">
        <f t="shared" si="57"/>
        <v>0</v>
      </c>
      <c r="E79" s="153">
        <f t="shared" si="58"/>
        <v>0</v>
      </c>
      <c r="F79" s="153">
        <f t="shared" si="59"/>
        <v>0</v>
      </c>
      <c r="G79" s="154">
        <f t="shared" si="60"/>
        <v>0</v>
      </c>
      <c r="H79" s="155" t="str">
        <f t="shared" si="39"/>
        <v/>
      </c>
      <c r="I79" s="156">
        <f t="shared" si="40"/>
        <v>0</v>
      </c>
      <c r="J79" s="155">
        <v>0</v>
      </c>
      <c r="K79" s="156" t="e">
        <f>IF(G79&gt;=Bmg2Jahr4,AGHBTR_Jahr4,IF('HR-LM (U2,U5FOD,U7)'!G79&gt;=Bmg1Jahr4,(RvBeitrJahr4*G79)+(AvBeitrJahr4*G79)+(U2UmlJahr4*G79)+HBetrKVJahr4+HBetrPVJahr4,AGBTR_Jahr4*G79))</f>
        <v>#N/A</v>
      </c>
      <c r="L79" s="156" t="e">
        <f t="shared" si="41"/>
        <v>#N/A</v>
      </c>
      <c r="M79" s="156">
        <f t="shared" si="42"/>
        <v>0</v>
      </c>
      <c r="N79" s="156" t="e">
        <f t="shared" si="61"/>
        <v>#N/A</v>
      </c>
      <c r="O79" s="157"/>
      <c r="P79" s="667" t="s">
        <v>14</v>
      </c>
      <c r="Q79" s="668"/>
      <c r="R79" s="152">
        <f>EOMONTH(CONCATENATE("01.","01.",$P$76),2)</f>
        <v>1552</v>
      </c>
      <c r="S79" s="153">
        <f t="shared" si="62"/>
        <v>0</v>
      </c>
      <c r="T79" s="153">
        <f t="shared" si="63"/>
        <v>0</v>
      </c>
      <c r="U79" s="153">
        <f t="shared" si="43"/>
        <v>0</v>
      </c>
      <c r="V79" s="677">
        <f t="shared" si="44"/>
        <v>0</v>
      </c>
      <c r="W79" s="678"/>
      <c r="X79" s="155" t="str">
        <f t="shared" si="45"/>
        <v/>
      </c>
      <c r="Y79" s="156">
        <f t="shared" si="46"/>
        <v>0</v>
      </c>
      <c r="Z79" s="155">
        <v>0</v>
      </c>
      <c r="AA79" s="156" t="e">
        <f>IF(V79&gt;=Bmg2Jahr5,AGHBTR_Jahr5,IF('HR-LM (U2,U5FOD,U7)'!V79&gt;=Bmg1Jahr5,(RvBeitrJahr5*V79)+(AvBeitrJahr5*V79)+(U2UmlJahr5*V79)+HBetrKVJahr5+HBetrPVJahr5,AGBTR_Jahr5*V79))</f>
        <v>#N/A</v>
      </c>
      <c r="AB79" s="156" t="e">
        <f t="shared" si="47"/>
        <v>#N/A</v>
      </c>
      <c r="AC79" s="156">
        <f t="shared" si="48"/>
        <v>0</v>
      </c>
      <c r="AD79" s="156" t="e">
        <f t="shared" si="64"/>
        <v>#N/A</v>
      </c>
      <c r="AE79" s="158"/>
      <c r="AF79" s="667" t="s">
        <v>14</v>
      </c>
      <c r="AG79" s="668"/>
      <c r="AH79" s="152">
        <f>EOMONTH(CONCATENATE("01.","01.",$AF$76),2)</f>
        <v>1917</v>
      </c>
      <c r="AI79" s="153">
        <f t="shared" si="49"/>
        <v>0</v>
      </c>
      <c r="AJ79" s="153">
        <f t="shared" si="50"/>
        <v>0</v>
      </c>
      <c r="AK79" s="153">
        <f t="shared" si="51"/>
        <v>0</v>
      </c>
      <c r="AL79" s="677">
        <f t="shared" si="52"/>
        <v>0</v>
      </c>
      <c r="AM79" s="678"/>
      <c r="AN79" s="155" t="str">
        <f t="shared" si="53"/>
        <v/>
      </c>
      <c r="AO79" s="156">
        <f t="shared" si="54"/>
        <v>0</v>
      </c>
      <c r="AP79" s="155">
        <v>0</v>
      </c>
      <c r="AQ79" s="156" t="e">
        <f>IF(AL79&gt;=Bmg2Jahr6,AGHBTR_Jahr6,IF('HR-LM (U2,U5FOD,U7)'!AL79&gt;=Bmg1Jahr6,(RvBeitrJahr6*AL79)+(AvBeitrJahr6*AL79)+(U2UmlJahr6*AL79)+HBetrKVJahr6+HBetrPVJahr6,AGBTR_Jahr6*AL79))</f>
        <v>#N/A</v>
      </c>
      <c r="AR79" s="156" t="e">
        <f t="shared" si="55"/>
        <v>#N/A</v>
      </c>
      <c r="AS79" s="156">
        <f t="shared" si="56"/>
        <v>0</v>
      </c>
      <c r="AT79" s="156" t="e">
        <f t="shared" si="65"/>
        <v>#N/A</v>
      </c>
    </row>
    <row r="80" spans="2:46" x14ac:dyDescent="0.35">
      <c r="B80" s="151" t="s">
        <v>15</v>
      </c>
      <c r="C80" s="152">
        <f>EOMONTH(CONCATENATE("01.","01.",$B$76),3)</f>
        <v>1216</v>
      </c>
      <c r="D80" s="153">
        <f t="shared" si="57"/>
        <v>0</v>
      </c>
      <c r="E80" s="153">
        <f t="shared" si="58"/>
        <v>0</v>
      </c>
      <c r="F80" s="153">
        <f t="shared" si="59"/>
        <v>0</v>
      </c>
      <c r="G80" s="154">
        <f t="shared" si="60"/>
        <v>0</v>
      </c>
      <c r="H80" s="155" t="str">
        <f t="shared" si="39"/>
        <v/>
      </c>
      <c r="I80" s="156">
        <f t="shared" si="40"/>
        <v>0</v>
      </c>
      <c r="J80" s="155">
        <v>0</v>
      </c>
      <c r="K80" s="156" t="e">
        <f>IF(G80&gt;=Bmg2Jahr4,AGHBTR_Jahr4,IF('HR-LM (U2,U5FOD,U7)'!G80&gt;=Bmg1Jahr4,(RvBeitrJahr4*G80)+(AvBeitrJahr4*G80)+(U2UmlJahr4*G80)+HBetrKVJahr4+HBetrPVJahr4,AGBTR_Jahr4*G80))</f>
        <v>#N/A</v>
      </c>
      <c r="L80" s="156" t="e">
        <f t="shared" si="41"/>
        <v>#N/A</v>
      </c>
      <c r="M80" s="156">
        <f t="shared" si="42"/>
        <v>0</v>
      </c>
      <c r="N80" s="156" t="e">
        <f t="shared" si="61"/>
        <v>#N/A</v>
      </c>
      <c r="O80" s="157"/>
      <c r="P80" s="667" t="s">
        <v>15</v>
      </c>
      <c r="Q80" s="668"/>
      <c r="R80" s="152">
        <f>EOMONTH(CONCATENATE("01.","01.",$P$76),3)</f>
        <v>1582</v>
      </c>
      <c r="S80" s="153">
        <f t="shared" si="62"/>
        <v>0</v>
      </c>
      <c r="T80" s="153">
        <f t="shared" si="63"/>
        <v>0</v>
      </c>
      <c r="U80" s="153">
        <f t="shared" si="43"/>
        <v>0</v>
      </c>
      <c r="V80" s="677">
        <f t="shared" si="44"/>
        <v>0</v>
      </c>
      <c r="W80" s="678"/>
      <c r="X80" s="155" t="str">
        <f t="shared" si="45"/>
        <v/>
      </c>
      <c r="Y80" s="156">
        <f t="shared" si="46"/>
        <v>0</v>
      </c>
      <c r="Z80" s="155">
        <v>0</v>
      </c>
      <c r="AA80" s="156" t="e">
        <f>IF(V80&gt;=Bmg2Jahr5,AGHBTR_Jahr5,IF('HR-LM (U2,U5FOD,U7)'!V80&gt;=Bmg1Jahr5,(RvBeitrJahr5*V80)+(AvBeitrJahr5*V80)+(U2UmlJahr5*V80)+HBetrKVJahr5+HBetrPVJahr5,AGBTR_Jahr5*V80))</f>
        <v>#N/A</v>
      </c>
      <c r="AB80" s="156" t="e">
        <f t="shared" si="47"/>
        <v>#N/A</v>
      </c>
      <c r="AC80" s="156">
        <f t="shared" si="48"/>
        <v>0</v>
      </c>
      <c r="AD80" s="156" t="e">
        <f t="shared" si="64"/>
        <v>#N/A</v>
      </c>
      <c r="AE80" s="158"/>
      <c r="AF80" s="667" t="s">
        <v>15</v>
      </c>
      <c r="AG80" s="668"/>
      <c r="AH80" s="152">
        <f>EOMONTH(CONCATENATE("01.","01.",$AF$76),3)</f>
        <v>1947</v>
      </c>
      <c r="AI80" s="153">
        <f t="shared" si="49"/>
        <v>0</v>
      </c>
      <c r="AJ80" s="153">
        <f t="shared" si="50"/>
        <v>0</v>
      </c>
      <c r="AK80" s="153">
        <f t="shared" si="51"/>
        <v>0</v>
      </c>
      <c r="AL80" s="677">
        <f t="shared" si="52"/>
        <v>0</v>
      </c>
      <c r="AM80" s="678"/>
      <c r="AN80" s="155" t="str">
        <f t="shared" si="53"/>
        <v/>
      </c>
      <c r="AO80" s="156">
        <f t="shared" si="54"/>
        <v>0</v>
      </c>
      <c r="AP80" s="155">
        <v>0</v>
      </c>
      <c r="AQ80" s="156" t="e">
        <f>IF(AL80&gt;=Bmg2Jahr6,AGHBTR_Jahr6,IF('HR-LM (U2,U5FOD,U7)'!AL80&gt;=Bmg1Jahr6,(RvBeitrJahr6*AL80)+(AvBeitrJahr6*AL80)+(U2UmlJahr6*AL80)+HBetrKVJahr6+HBetrPVJahr6,AGBTR_Jahr6*AL80))</f>
        <v>#N/A</v>
      </c>
      <c r="AR80" s="156" t="e">
        <f t="shared" si="55"/>
        <v>#N/A</v>
      </c>
      <c r="AS80" s="156">
        <f t="shared" si="56"/>
        <v>0</v>
      </c>
      <c r="AT80" s="156" t="e">
        <f t="shared" si="65"/>
        <v>#N/A</v>
      </c>
    </row>
    <row r="81" spans="2:46" x14ac:dyDescent="0.35">
      <c r="B81" s="151" t="s">
        <v>16</v>
      </c>
      <c r="C81" s="152">
        <f>EOMONTH(CONCATENATE("01.","01.",$B$76),4)</f>
        <v>1247</v>
      </c>
      <c r="D81" s="153">
        <f t="shared" si="57"/>
        <v>0</v>
      </c>
      <c r="E81" s="153">
        <f t="shared" si="58"/>
        <v>0</v>
      </c>
      <c r="F81" s="153">
        <f t="shared" si="59"/>
        <v>0</v>
      </c>
      <c r="G81" s="154">
        <f t="shared" si="60"/>
        <v>0</v>
      </c>
      <c r="H81" s="155" t="str">
        <f t="shared" si="39"/>
        <v/>
      </c>
      <c r="I81" s="156">
        <f t="shared" si="40"/>
        <v>0</v>
      </c>
      <c r="J81" s="155">
        <v>0</v>
      </c>
      <c r="K81" s="156" t="e">
        <f>IF(G81&gt;=Bmg2Jahr4,AGHBTR_Jahr4,IF('HR-LM (U2,U5FOD,U7)'!G81&gt;=Bmg1Jahr4,(RvBeitrJahr4*G81)+(AvBeitrJahr4*G81)+(U2UmlJahr4*G81)+HBetrKVJahr4+HBetrPVJahr4,AGBTR_Jahr4*G81))</f>
        <v>#N/A</v>
      </c>
      <c r="L81" s="156" t="e">
        <f t="shared" si="41"/>
        <v>#N/A</v>
      </c>
      <c r="M81" s="156">
        <f t="shared" si="42"/>
        <v>0</v>
      </c>
      <c r="N81" s="156" t="e">
        <f t="shared" si="61"/>
        <v>#N/A</v>
      </c>
      <c r="O81" s="157"/>
      <c r="P81" s="667" t="s">
        <v>16</v>
      </c>
      <c r="Q81" s="668"/>
      <c r="R81" s="152">
        <f>EOMONTH(CONCATENATE("01.","01.",$P$76),4)</f>
        <v>1613</v>
      </c>
      <c r="S81" s="153">
        <f t="shared" si="62"/>
        <v>0</v>
      </c>
      <c r="T81" s="153">
        <f t="shared" si="63"/>
        <v>0</v>
      </c>
      <c r="U81" s="153">
        <f t="shared" si="43"/>
        <v>0</v>
      </c>
      <c r="V81" s="677">
        <f t="shared" si="44"/>
        <v>0</v>
      </c>
      <c r="W81" s="678"/>
      <c r="X81" s="155" t="str">
        <f t="shared" si="45"/>
        <v/>
      </c>
      <c r="Y81" s="156">
        <f t="shared" si="46"/>
        <v>0</v>
      </c>
      <c r="Z81" s="155">
        <v>0</v>
      </c>
      <c r="AA81" s="156" t="e">
        <f>IF(V81&gt;=Bmg2Jahr5,AGHBTR_Jahr5,IF('HR-LM (U2,U5FOD,U7)'!V81&gt;=Bmg1Jahr5,(RvBeitrJahr5*V81)+(AvBeitrJahr5*V81)+(U2UmlJahr5*V81)+HBetrKVJahr5+HBetrPVJahr5,AGBTR_Jahr5*V81))</f>
        <v>#N/A</v>
      </c>
      <c r="AB81" s="156" t="e">
        <f t="shared" si="47"/>
        <v>#N/A</v>
      </c>
      <c r="AC81" s="156">
        <f t="shared" si="48"/>
        <v>0</v>
      </c>
      <c r="AD81" s="156" t="e">
        <f t="shared" si="64"/>
        <v>#N/A</v>
      </c>
      <c r="AE81" s="158"/>
      <c r="AF81" s="667" t="s">
        <v>16</v>
      </c>
      <c r="AG81" s="668"/>
      <c r="AH81" s="152">
        <f>EOMONTH(CONCATENATE("01.","01.",$AF$76),4)</f>
        <v>1978</v>
      </c>
      <c r="AI81" s="153">
        <f t="shared" si="49"/>
        <v>0</v>
      </c>
      <c r="AJ81" s="153">
        <f t="shared" si="50"/>
        <v>0</v>
      </c>
      <c r="AK81" s="153">
        <f t="shared" si="51"/>
        <v>0</v>
      </c>
      <c r="AL81" s="677">
        <f t="shared" si="52"/>
        <v>0</v>
      </c>
      <c r="AM81" s="678"/>
      <c r="AN81" s="155" t="str">
        <f t="shared" si="53"/>
        <v/>
      </c>
      <c r="AO81" s="156">
        <f t="shared" si="54"/>
        <v>0</v>
      </c>
      <c r="AP81" s="155">
        <v>0</v>
      </c>
      <c r="AQ81" s="156" t="e">
        <f>IF(AL81&gt;=Bmg2Jahr6,AGHBTR_Jahr6,IF('HR-LM (U2,U5FOD,U7)'!AL81&gt;=Bmg1Jahr6,(RvBeitrJahr6*AL81)+(AvBeitrJahr6*AL81)+(U2UmlJahr6*AL81)+HBetrKVJahr6+HBetrPVJahr6,AGBTR_Jahr6*AL81))</f>
        <v>#N/A</v>
      </c>
      <c r="AR81" s="156" t="e">
        <f t="shared" si="55"/>
        <v>#N/A</v>
      </c>
      <c r="AS81" s="156">
        <f t="shared" si="56"/>
        <v>0</v>
      </c>
      <c r="AT81" s="156" t="e">
        <f t="shared" si="65"/>
        <v>#N/A</v>
      </c>
    </row>
    <row r="82" spans="2:46" x14ac:dyDescent="0.35">
      <c r="B82" s="151" t="s">
        <v>17</v>
      </c>
      <c r="C82" s="152">
        <f>EOMONTH(CONCATENATE("01.","01.",$B$76),5)</f>
        <v>1277</v>
      </c>
      <c r="D82" s="153">
        <f t="shared" si="57"/>
        <v>0</v>
      </c>
      <c r="E82" s="153">
        <f t="shared" si="58"/>
        <v>0</v>
      </c>
      <c r="F82" s="153">
        <f t="shared" si="59"/>
        <v>0</v>
      </c>
      <c r="G82" s="154">
        <f t="shared" si="60"/>
        <v>0</v>
      </c>
      <c r="H82" s="155" t="str">
        <f t="shared" si="39"/>
        <v/>
      </c>
      <c r="I82" s="156">
        <f t="shared" si="40"/>
        <v>0</v>
      </c>
      <c r="J82" s="155">
        <v>0</v>
      </c>
      <c r="K82" s="156" t="e">
        <f>IF(G82&gt;=Bmg2Jahr4,AGHBTR_Jahr4,IF('HR-LM (U2,U5FOD,U7)'!G82&gt;=Bmg1Jahr4,(RvBeitrJahr4*G82)+(AvBeitrJahr4*G82)+(U2UmlJahr4*G82)+HBetrKVJahr4+HBetrPVJahr4,AGBTR_Jahr4*G82))</f>
        <v>#N/A</v>
      </c>
      <c r="L82" s="156" t="e">
        <f t="shared" si="41"/>
        <v>#N/A</v>
      </c>
      <c r="M82" s="156">
        <f t="shared" si="42"/>
        <v>0</v>
      </c>
      <c r="N82" s="156" t="e">
        <f t="shared" si="61"/>
        <v>#N/A</v>
      </c>
      <c r="O82" s="157"/>
      <c r="P82" s="667" t="s">
        <v>17</v>
      </c>
      <c r="Q82" s="668"/>
      <c r="R82" s="152">
        <f>EOMONTH(CONCATENATE("01.","01.",$P$76),5)</f>
        <v>1643</v>
      </c>
      <c r="S82" s="153">
        <f t="shared" si="62"/>
        <v>0</v>
      </c>
      <c r="T82" s="153">
        <f t="shared" si="63"/>
        <v>0</v>
      </c>
      <c r="U82" s="153">
        <f t="shared" si="43"/>
        <v>0</v>
      </c>
      <c r="V82" s="677">
        <f t="shared" si="44"/>
        <v>0</v>
      </c>
      <c r="W82" s="678"/>
      <c r="X82" s="155" t="str">
        <f t="shared" si="45"/>
        <v/>
      </c>
      <c r="Y82" s="156">
        <f t="shared" si="46"/>
        <v>0</v>
      </c>
      <c r="Z82" s="155">
        <v>0</v>
      </c>
      <c r="AA82" s="156" t="e">
        <f>IF(V82&gt;=Bmg2Jahr5,AGHBTR_Jahr5,IF('HR-LM (U2,U5FOD,U7)'!V82&gt;=Bmg1Jahr5,(RvBeitrJahr5*V82)+(AvBeitrJahr5*V82)+(U2UmlJahr5*V82)+HBetrKVJahr5+HBetrPVJahr5,AGBTR_Jahr5*V82))</f>
        <v>#N/A</v>
      </c>
      <c r="AB82" s="156" t="e">
        <f t="shared" si="47"/>
        <v>#N/A</v>
      </c>
      <c r="AC82" s="156">
        <f t="shared" si="48"/>
        <v>0</v>
      </c>
      <c r="AD82" s="156" t="e">
        <f t="shared" si="64"/>
        <v>#N/A</v>
      </c>
      <c r="AE82" s="158"/>
      <c r="AF82" s="667" t="s">
        <v>17</v>
      </c>
      <c r="AG82" s="668"/>
      <c r="AH82" s="152">
        <f>EOMONTH(CONCATENATE("01.","01.",$AF$76),5)</f>
        <v>2008</v>
      </c>
      <c r="AI82" s="153">
        <f t="shared" si="49"/>
        <v>0</v>
      </c>
      <c r="AJ82" s="153">
        <f t="shared" si="50"/>
        <v>0</v>
      </c>
      <c r="AK82" s="153">
        <f t="shared" si="51"/>
        <v>0</v>
      </c>
      <c r="AL82" s="677">
        <f t="shared" si="52"/>
        <v>0</v>
      </c>
      <c r="AM82" s="678"/>
      <c r="AN82" s="155" t="str">
        <f t="shared" si="53"/>
        <v/>
      </c>
      <c r="AO82" s="156">
        <f t="shared" si="54"/>
        <v>0</v>
      </c>
      <c r="AP82" s="155">
        <v>0</v>
      </c>
      <c r="AQ82" s="156" t="e">
        <f>IF(AL82&gt;=Bmg2Jahr6,AGHBTR_Jahr6,IF('HR-LM (U2,U5FOD,U7)'!AL82&gt;=Bmg1Jahr6,(RvBeitrJahr6*AL82)+(AvBeitrJahr6*AL82)+(U2UmlJahr6*AL82)+HBetrKVJahr6+HBetrPVJahr6,AGBTR_Jahr6*AL82))</f>
        <v>#N/A</v>
      </c>
      <c r="AR82" s="156" t="e">
        <f t="shared" si="55"/>
        <v>#N/A</v>
      </c>
      <c r="AS82" s="156">
        <f t="shared" si="56"/>
        <v>0</v>
      </c>
      <c r="AT82" s="156" t="e">
        <f t="shared" si="65"/>
        <v>#N/A</v>
      </c>
    </row>
    <row r="83" spans="2:46" x14ac:dyDescent="0.35">
      <c r="B83" s="151" t="s">
        <v>18</v>
      </c>
      <c r="C83" s="152">
        <f>EOMONTH(CONCATENATE("01.","01.",$B$76),6)</f>
        <v>1308</v>
      </c>
      <c r="D83" s="153">
        <f t="shared" si="57"/>
        <v>0</v>
      </c>
      <c r="E83" s="153">
        <f t="shared" si="58"/>
        <v>0</v>
      </c>
      <c r="F83" s="153">
        <f t="shared" si="59"/>
        <v>0</v>
      </c>
      <c r="G83" s="154">
        <f t="shared" si="60"/>
        <v>0</v>
      </c>
      <c r="H83" s="155" t="str">
        <f t="shared" si="39"/>
        <v/>
      </c>
      <c r="I83" s="156">
        <f t="shared" si="40"/>
        <v>0</v>
      </c>
      <c r="J83" s="155">
        <v>0</v>
      </c>
      <c r="K83" s="156" t="e">
        <f>IF(G83&gt;=Bmg2Jahr4,AGHBTR_Jahr4,IF('HR-LM (U2,U5FOD,U7)'!G83&gt;=Bmg1Jahr4,(RvBeitrJahr4*G83)+(AvBeitrJahr4*G83)+(U2UmlJahr4*G83)+HBetrKVJahr4+HBetrPVJahr4,AGBTR_Jahr4*G83))</f>
        <v>#N/A</v>
      </c>
      <c r="L83" s="156" t="e">
        <f t="shared" si="41"/>
        <v>#N/A</v>
      </c>
      <c r="M83" s="156">
        <f t="shared" si="42"/>
        <v>0</v>
      </c>
      <c r="N83" s="156" t="e">
        <f t="shared" si="61"/>
        <v>#N/A</v>
      </c>
      <c r="O83" s="157"/>
      <c r="P83" s="667" t="s">
        <v>18</v>
      </c>
      <c r="Q83" s="668"/>
      <c r="R83" s="152">
        <f>EOMONTH(CONCATENATE("01.","01.",$P$76),6)</f>
        <v>1674</v>
      </c>
      <c r="S83" s="153">
        <f t="shared" si="62"/>
        <v>0</v>
      </c>
      <c r="T83" s="153">
        <f t="shared" si="63"/>
        <v>0</v>
      </c>
      <c r="U83" s="153">
        <f t="shared" si="43"/>
        <v>0</v>
      </c>
      <c r="V83" s="677">
        <f t="shared" si="44"/>
        <v>0</v>
      </c>
      <c r="W83" s="678"/>
      <c r="X83" s="155" t="str">
        <f t="shared" si="45"/>
        <v/>
      </c>
      <c r="Y83" s="156">
        <f t="shared" si="46"/>
        <v>0</v>
      </c>
      <c r="Z83" s="155">
        <v>0</v>
      </c>
      <c r="AA83" s="156" t="e">
        <f>IF(V83&gt;=Bmg2Jahr5,AGHBTR_Jahr5,IF('HR-LM (U2,U5FOD,U7)'!V83&gt;=Bmg1Jahr5,(RvBeitrJahr5*V83)+(AvBeitrJahr5*V83)+(U2UmlJahr5*V83)+HBetrKVJahr5+HBetrPVJahr5,AGBTR_Jahr5*V83))</f>
        <v>#N/A</v>
      </c>
      <c r="AB83" s="156" t="e">
        <f t="shared" si="47"/>
        <v>#N/A</v>
      </c>
      <c r="AC83" s="156">
        <f t="shared" si="48"/>
        <v>0</v>
      </c>
      <c r="AD83" s="156" t="e">
        <f t="shared" si="64"/>
        <v>#N/A</v>
      </c>
      <c r="AE83" s="158"/>
      <c r="AF83" s="667" t="s">
        <v>18</v>
      </c>
      <c r="AG83" s="668"/>
      <c r="AH83" s="152">
        <f>EOMONTH(CONCATENATE("01.","01.",$AF$76),6)</f>
        <v>2039</v>
      </c>
      <c r="AI83" s="153">
        <f t="shared" si="49"/>
        <v>0</v>
      </c>
      <c r="AJ83" s="153">
        <f t="shared" si="50"/>
        <v>0</v>
      </c>
      <c r="AK83" s="153">
        <f t="shared" si="51"/>
        <v>0</v>
      </c>
      <c r="AL83" s="677">
        <f t="shared" si="52"/>
        <v>0</v>
      </c>
      <c r="AM83" s="678"/>
      <c r="AN83" s="155" t="str">
        <f t="shared" si="53"/>
        <v/>
      </c>
      <c r="AO83" s="156">
        <f t="shared" si="54"/>
        <v>0</v>
      </c>
      <c r="AP83" s="155">
        <v>0</v>
      </c>
      <c r="AQ83" s="156" t="e">
        <f>IF(AL83&gt;=Bmg2Jahr6,AGHBTR_Jahr6,IF('HR-LM (U2,U5FOD,U7)'!AL83&gt;=Bmg1Jahr6,(RvBeitrJahr6*AL83)+(AvBeitrJahr6*AL83)+(U2UmlJahr6*AL83)+HBetrKVJahr6+HBetrPVJahr6,AGBTR_Jahr6*AL83))</f>
        <v>#N/A</v>
      </c>
      <c r="AR83" s="156" t="e">
        <f t="shared" si="55"/>
        <v>#N/A</v>
      </c>
      <c r="AS83" s="156">
        <f t="shared" si="56"/>
        <v>0</v>
      </c>
      <c r="AT83" s="156" t="e">
        <f t="shared" si="65"/>
        <v>#N/A</v>
      </c>
    </row>
    <row r="84" spans="2:46" x14ac:dyDescent="0.35">
      <c r="B84" s="151" t="s">
        <v>19</v>
      </c>
      <c r="C84" s="152">
        <f>EOMONTH(CONCATENATE("01.","01.",$B$76),7)</f>
        <v>1339</v>
      </c>
      <c r="D84" s="153">
        <f t="shared" si="57"/>
        <v>0</v>
      </c>
      <c r="E84" s="153">
        <f t="shared" si="58"/>
        <v>0</v>
      </c>
      <c r="F84" s="153">
        <f t="shared" si="59"/>
        <v>0</v>
      </c>
      <c r="G84" s="154">
        <f t="shared" si="60"/>
        <v>0</v>
      </c>
      <c r="H84" s="155" t="str">
        <f t="shared" si="39"/>
        <v/>
      </c>
      <c r="I84" s="156">
        <f t="shared" si="40"/>
        <v>0</v>
      </c>
      <c r="J84" s="155">
        <v>0</v>
      </c>
      <c r="K84" s="156" t="e">
        <f>IF(G84&gt;=Bmg2Jahr4,AGHBTR_Jahr4,IF('HR-LM (U2,U5FOD,U7)'!G84&gt;=Bmg1Jahr4,(RvBeitrJahr4*G84)+(AvBeitrJahr4*G84)+(U2UmlJahr4*G84)+HBetrKVJahr4+HBetrPVJahr4,AGBTR_Jahr4*G84))</f>
        <v>#N/A</v>
      </c>
      <c r="L84" s="156" t="e">
        <f t="shared" si="41"/>
        <v>#N/A</v>
      </c>
      <c r="M84" s="156">
        <f t="shared" si="42"/>
        <v>0</v>
      </c>
      <c r="N84" s="156" t="e">
        <f t="shared" si="61"/>
        <v>#N/A</v>
      </c>
      <c r="O84" s="157"/>
      <c r="P84" s="667" t="s">
        <v>19</v>
      </c>
      <c r="Q84" s="668"/>
      <c r="R84" s="152">
        <f>EOMONTH(CONCATENATE("01.","01.",$P$76),7)</f>
        <v>1705</v>
      </c>
      <c r="S84" s="153">
        <f t="shared" si="62"/>
        <v>0</v>
      </c>
      <c r="T84" s="153">
        <f t="shared" si="63"/>
        <v>0</v>
      </c>
      <c r="U84" s="153">
        <f t="shared" si="43"/>
        <v>0</v>
      </c>
      <c r="V84" s="677">
        <f t="shared" si="44"/>
        <v>0</v>
      </c>
      <c r="W84" s="678"/>
      <c r="X84" s="155" t="str">
        <f t="shared" si="45"/>
        <v/>
      </c>
      <c r="Y84" s="156">
        <f t="shared" si="46"/>
        <v>0</v>
      </c>
      <c r="Z84" s="155">
        <v>0</v>
      </c>
      <c r="AA84" s="156" t="e">
        <f>IF(V84&gt;=Bmg2Jahr5,AGHBTR_Jahr5,IF('HR-LM (U2,U5FOD,U7)'!V84&gt;=Bmg1Jahr5,(RvBeitrJahr5*V84)+(AvBeitrJahr5*V84)+(U2UmlJahr5*V84)+HBetrKVJahr5+HBetrPVJahr5,AGBTR_Jahr5*V84))</f>
        <v>#N/A</v>
      </c>
      <c r="AB84" s="156" t="e">
        <f t="shared" si="47"/>
        <v>#N/A</v>
      </c>
      <c r="AC84" s="156">
        <f t="shared" si="48"/>
        <v>0</v>
      </c>
      <c r="AD84" s="156" t="e">
        <f t="shared" si="64"/>
        <v>#N/A</v>
      </c>
      <c r="AE84" s="158"/>
      <c r="AF84" s="667" t="s">
        <v>19</v>
      </c>
      <c r="AG84" s="668"/>
      <c r="AH84" s="152">
        <f>EOMONTH(CONCATENATE("01.","01.",$AF$76),7)</f>
        <v>2070</v>
      </c>
      <c r="AI84" s="153">
        <f t="shared" si="49"/>
        <v>0</v>
      </c>
      <c r="AJ84" s="153">
        <f t="shared" si="50"/>
        <v>0</v>
      </c>
      <c r="AK84" s="153">
        <f t="shared" si="51"/>
        <v>0</v>
      </c>
      <c r="AL84" s="677">
        <f t="shared" si="52"/>
        <v>0</v>
      </c>
      <c r="AM84" s="678"/>
      <c r="AN84" s="155" t="str">
        <f t="shared" si="53"/>
        <v/>
      </c>
      <c r="AO84" s="156">
        <f t="shared" si="54"/>
        <v>0</v>
      </c>
      <c r="AP84" s="155">
        <v>0</v>
      </c>
      <c r="AQ84" s="156" t="e">
        <f>IF(AL84&gt;=Bmg2Jahr6,AGHBTR_Jahr6,IF('HR-LM (U2,U5FOD,U7)'!AL84&gt;=Bmg1Jahr6,(RvBeitrJahr6*AL84)+(AvBeitrJahr6*AL84)+(U2UmlJahr6*AL84)+HBetrKVJahr6+HBetrPVJahr6,AGBTR_Jahr6*AL84))</f>
        <v>#N/A</v>
      </c>
      <c r="AR84" s="156" t="e">
        <f t="shared" si="55"/>
        <v>#N/A</v>
      </c>
      <c r="AS84" s="156">
        <f t="shared" si="56"/>
        <v>0</v>
      </c>
      <c r="AT84" s="156" t="e">
        <f t="shared" si="65"/>
        <v>#N/A</v>
      </c>
    </row>
    <row r="85" spans="2:46" x14ac:dyDescent="0.35">
      <c r="B85" s="151" t="s">
        <v>20</v>
      </c>
      <c r="C85" s="152">
        <f>EOMONTH(CONCATENATE("01.","01.",$B$76),8)</f>
        <v>1369</v>
      </c>
      <c r="D85" s="153">
        <f t="shared" si="57"/>
        <v>0</v>
      </c>
      <c r="E85" s="153">
        <f t="shared" si="58"/>
        <v>0</v>
      </c>
      <c r="F85" s="153">
        <f t="shared" si="59"/>
        <v>0</v>
      </c>
      <c r="G85" s="154">
        <f t="shared" si="60"/>
        <v>0</v>
      </c>
      <c r="H85" s="155" t="str">
        <f t="shared" si="39"/>
        <v/>
      </c>
      <c r="I85" s="156">
        <f t="shared" si="40"/>
        <v>0</v>
      </c>
      <c r="J85" s="155">
        <v>0</v>
      </c>
      <c r="K85" s="156" t="e">
        <f>IF(G85&gt;=Bmg2Jahr4,AGHBTR_Jahr4,IF('HR-LM (U2,U5FOD,U7)'!G85&gt;=Bmg1Jahr4,(RvBeitrJahr4*G85)+(AvBeitrJahr4*G85)+(U2UmlJahr4*G85)+HBetrKVJahr4+HBetrPVJahr4,AGBTR_Jahr4*G85))</f>
        <v>#N/A</v>
      </c>
      <c r="L85" s="156" t="e">
        <f t="shared" si="41"/>
        <v>#N/A</v>
      </c>
      <c r="M85" s="156">
        <f t="shared" si="42"/>
        <v>0</v>
      </c>
      <c r="N85" s="156" t="e">
        <f t="shared" si="61"/>
        <v>#N/A</v>
      </c>
      <c r="O85" s="157"/>
      <c r="P85" s="667" t="s">
        <v>20</v>
      </c>
      <c r="Q85" s="668"/>
      <c r="R85" s="152">
        <f>EOMONTH(CONCATENATE("01.","01.",$P$76),8)</f>
        <v>1735</v>
      </c>
      <c r="S85" s="153">
        <f t="shared" si="62"/>
        <v>0</v>
      </c>
      <c r="T85" s="153">
        <f t="shared" si="63"/>
        <v>0</v>
      </c>
      <c r="U85" s="153">
        <f t="shared" si="43"/>
        <v>0</v>
      </c>
      <c r="V85" s="677">
        <f t="shared" si="44"/>
        <v>0</v>
      </c>
      <c r="W85" s="678"/>
      <c r="X85" s="155" t="str">
        <f t="shared" si="45"/>
        <v/>
      </c>
      <c r="Y85" s="156">
        <f t="shared" si="46"/>
        <v>0</v>
      </c>
      <c r="Z85" s="155">
        <v>0</v>
      </c>
      <c r="AA85" s="156" t="e">
        <f>IF(V85&gt;=Bmg2Jahr5,AGHBTR_Jahr5,IF('HR-LM (U2,U5FOD,U7)'!V85&gt;=Bmg1Jahr5,(RvBeitrJahr5*V85)+(AvBeitrJahr5*V85)+(U2UmlJahr5*V85)+HBetrKVJahr5+HBetrPVJahr5,AGBTR_Jahr5*V85))</f>
        <v>#N/A</v>
      </c>
      <c r="AB85" s="156" t="e">
        <f t="shared" si="47"/>
        <v>#N/A</v>
      </c>
      <c r="AC85" s="156">
        <f t="shared" si="48"/>
        <v>0</v>
      </c>
      <c r="AD85" s="156" t="e">
        <f t="shared" si="64"/>
        <v>#N/A</v>
      </c>
      <c r="AE85" s="158"/>
      <c r="AF85" s="667" t="s">
        <v>20</v>
      </c>
      <c r="AG85" s="668"/>
      <c r="AH85" s="152">
        <f>EOMONTH(CONCATENATE("01.","01.",$AF$76),8)</f>
        <v>2100</v>
      </c>
      <c r="AI85" s="153">
        <f t="shared" si="49"/>
        <v>0</v>
      </c>
      <c r="AJ85" s="153">
        <f t="shared" si="50"/>
        <v>0</v>
      </c>
      <c r="AK85" s="153">
        <f t="shared" si="51"/>
        <v>0</v>
      </c>
      <c r="AL85" s="677">
        <f t="shared" si="52"/>
        <v>0</v>
      </c>
      <c r="AM85" s="678"/>
      <c r="AN85" s="155" t="str">
        <f t="shared" si="53"/>
        <v/>
      </c>
      <c r="AO85" s="156">
        <f t="shared" si="54"/>
        <v>0</v>
      </c>
      <c r="AP85" s="155">
        <v>0</v>
      </c>
      <c r="AQ85" s="156" t="e">
        <f>IF(AL85&gt;=Bmg2Jahr6,AGHBTR_Jahr6,IF('HR-LM (U2,U5FOD,U7)'!AL85&gt;=Bmg1Jahr6,(RvBeitrJahr6*AL85)+(AvBeitrJahr6*AL85)+(U2UmlJahr6*AL85)+HBetrKVJahr6+HBetrPVJahr6,AGBTR_Jahr6*AL85))</f>
        <v>#N/A</v>
      </c>
      <c r="AR85" s="156" t="e">
        <f t="shared" si="55"/>
        <v>#N/A</v>
      </c>
      <c r="AS85" s="156">
        <f t="shared" si="56"/>
        <v>0</v>
      </c>
      <c r="AT85" s="156" t="e">
        <f t="shared" si="65"/>
        <v>#N/A</v>
      </c>
    </row>
    <row r="86" spans="2:46" x14ac:dyDescent="0.35">
      <c r="B86" s="151" t="s">
        <v>21</v>
      </c>
      <c r="C86" s="152">
        <f>EOMONTH(CONCATENATE("01.","01.",$B$76),9)</f>
        <v>1400</v>
      </c>
      <c r="D86" s="153">
        <f t="shared" si="57"/>
        <v>0</v>
      </c>
      <c r="E86" s="153">
        <f t="shared" si="58"/>
        <v>0</v>
      </c>
      <c r="F86" s="153">
        <f t="shared" si="59"/>
        <v>0</v>
      </c>
      <c r="G86" s="154">
        <f t="shared" si="60"/>
        <v>0</v>
      </c>
      <c r="H86" s="155" t="str">
        <f t="shared" ref="H86:H88" si="66">IF(AND(SUM(D86:F86)=30,F86&gt;0),$N$38*$N$42,IF(AND(SUM(D86:F86)=30,E86&gt;0),$L$38*$L$42,IF(AND(SUM(D86:F86)=30,D86&gt;0),$J$38*$J$42,"")))</f>
        <v/>
      </c>
      <c r="I86" s="156">
        <f t="shared" si="40"/>
        <v>0</v>
      </c>
      <c r="J86" s="155">
        <v>0</v>
      </c>
      <c r="K86" s="156" t="e">
        <f>IF(G86&gt;=Bmg2Jahr4,AGHBTR_Jahr4,IF('HR-LM (U2,U5FOD,U7)'!G86&gt;=Bmg1Jahr4,(RvBeitrJahr4*G86)+(AvBeitrJahr4*G86)+(U2UmlJahr4*G86)+HBetrKVJahr4+HBetrPVJahr4,AGBTR_Jahr4*G86))</f>
        <v>#N/A</v>
      </c>
      <c r="L86" s="156" t="e">
        <f t="shared" si="41"/>
        <v>#N/A</v>
      </c>
      <c r="M86" s="156">
        <f t="shared" si="42"/>
        <v>0</v>
      </c>
      <c r="N86" s="156" t="e">
        <f t="shared" si="61"/>
        <v>#N/A</v>
      </c>
      <c r="O86" s="157"/>
      <c r="P86" s="667" t="s">
        <v>21</v>
      </c>
      <c r="Q86" s="668"/>
      <c r="R86" s="152">
        <f>EOMONTH(CONCATENATE("01.","01.",$P$76),9)</f>
        <v>1766</v>
      </c>
      <c r="S86" s="153">
        <f t="shared" si="62"/>
        <v>0</v>
      </c>
      <c r="T86" s="153">
        <f t="shared" si="63"/>
        <v>0</v>
      </c>
      <c r="U86" s="153">
        <f t="shared" si="43"/>
        <v>0</v>
      </c>
      <c r="V86" s="677">
        <f t="shared" si="44"/>
        <v>0</v>
      </c>
      <c r="W86" s="678"/>
      <c r="X86" s="155" t="str">
        <f t="shared" ref="X86:X88" si="67">IF(AND(SUM(S86:U86)=30,U86&gt;0),$Z$38*$Z$42,IF(AND(SUM(S86:U86)=30,T86&gt;0),$V$38*$V$42,IF(AND(SUM(S86:U86)=30,S86&gt;0),$P$38*$P$42,"")))</f>
        <v/>
      </c>
      <c r="Y86" s="156">
        <f t="shared" si="46"/>
        <v>0</v>
      </c>
      <c r="Z86" s="155">
        <v>0</v>
      </c>
      <c r="AA86" s="156" t="e">
        <f>IF(V86&gt;=Bmg2Jahr5,AGHBTR_Jahr5,IF('HR-LM (U2,U5FOD,U7)'!V86&gt;=Bmg1Jahr5,(RvBeitrJahr5*V86)+(AvBeitrJahr5*V86)+(U2UmlJahr5*V86)+HBetrKVJahr5+HBetrPVJahr5,AGBTR_Jahr5*V86))</f>
        <v>#N/A</v>
      </c>
      <c r="AB86" s="156" t="e">
        <f t="shared" si="47"/>
        <v>#N/A</v>
      </c>
      <c r="AC86" s="156">
        <f t="shared" si="48"/>
        <v>0</v>
      </c>
      <c r="AD86" s="156" t="e">
        <f t="shared" si="64"/>
        <v>#N/A</v>
      </c>
      <c r="AE86" s="158"/>
      <c r="AF86" s="667" t="s">
        <v>21</v>
      </c>
      <c r="AG86" s="668"/>
      <c r="AH86" s="152">
        <f>EOMONTH(CONCATENATE("01.","01.",$AF$76),9)</f>
        <v>2131</v>
      </c>
      <c r="AI86" s="153">
        <f t="shared" si="49"/>
        <v>0</v>
      </c>
      <c r="AJ86" s="153">
        <f t="shared" si="50"/>
        <v>0</v>
      </c>
      <c r="AK86" s="153">
        <f t="shared" si="51"/>
        <v>0</v>
      </c>
      <c r="AL86" s="677">
        <f t="shared" si="52"/>
        <v>0</v>
      </c>
      <c r="AM86" s="678"/>
      <c r="AN86" s="155" t="str">
        <f t="shared" si="53"/>
        <v/>
      </c>
      <c r="AO86" s="156">
        <f t="shared" si="54"/>
        <v>0</v>
      </c>
      <c r="AP86" s="155">
        <v>0</v>
      </c>
      <c r="AQ86" s="156" t="e">
        <f>IF(AL86&gt;=Bmg2Jahr6,AGHBTR_Jahr6,IF('HR-LM (U2,U5FOD,U7)'!AL86&gt;=Bmg1Jahr6,(RvBeitrJahr6*AL86)+(AvBeitrJahr6*AL86)+(U2UmlJahr6*AL86)+HBetrKVJahr6+HBetrPVJahr6,AGBTR_Jahr6*AL86))</f>
        <v>#N/A</v>
      </c>
      <c r="AR86" s="156" t="e">
        <f t="shared" si="55"/>
        <v>#N/A</v>
      </c>
      <c r="AS86" s="156">
        <f t="shared" si="56"/>
        <v>0</v>
      </c>
      <c r="AT86" s="156" t="e">
        <f t="shared" si="65"/>
        <v>#N/A</v>
      </c>
    </row>
    <row r="87" spans="2:46" x14ac:dyDescent="0.35">
      <c r="B87" s="151" t="s">
        <v>22</v>
      </c>
      <c r="C87" s="152">
        <f>EOMONTH(CONCATENATE("01.","01.",$B$76),10)</f>
        <v>1430</v>
      </c>
      <c r="D87" s="153">
        <f t="shared" si="57"/>
        <v>0</v>
      </c>
      <c r="E87" s="153">
        <f t="shared" si="58"/>
        <v>0</v>
      </c>
      <c r="F87" s="153">
        <f t="shared" si="59"/>
        <v>0</v>
      </c>
      <c r="G87" s="154">
        <f t="shared" si="60"/>
        <v>0</v>
      </c>
      <c r="H87" s="155" t="str">
        <f t="shared" si="66"/>
        <v/>
      </c>
      <c r="I87" s="156">
        <f t="shared" si="40"/>
        <v>0</v>
      </c>
      <c r="J87" s="155">
        <f>IFERROR(IF(J43="ja",H90,IF($X$6=TRUE,H90,0)),0)</f>
        <v>0</v>
      </c>
      <c r="K87" s="156" t="e">
        <f>IF((G87)&gt;=Bmg2Jahr4,AGHBTR_Jahr4,IF((G87)&gt;=Bmg1Jahr4,(RvBeitrJahr4*(G87+J87))+(AvBeitrJahr4*(G87+J87))+(U2UmlJahr4*(G87+J87))+HBetrKVJahr4+HBetrPVJahr4,AGBTR_Jahr4*(G87+J87)))</f>
        <v>#N/A</v>
      </c>
      <c r="L87" s="156" t="e">
        <f t="shared" si="41"/>
        <v>#N/A</v>
      </c>
      <c r="M87" s="156">
        <f t="shared" si="42"/>
        <v>0</v>
      </c>
      <c r="N87" s="156" t="e">
        <f t="shared" si="61"/>
        <v>#N/A</v>
      </c>
      <c r="O87" s="157"/>
      <c r="P87" s="667" t="s">
        <v>22</v>
      </c>
      <c r="Q87" s="668"/>
      <c r="R87" s="152">
        <f>EOMONTH(CONCATENATE("01.","01.",$P$76),10)</f>
        <v>1796</v>
      </c>
      <c r="S87" s="153">
        <f t="shared" si="62"/>
        <v>0</v>
      </c>
      <c r="T87" s="153">
        <f t="shared" si="63"/>
        <v>0</v>
      </c>
      <c r="U87" s="153">
        <f t="shared" si="43"/>
        <v>0</v>
      </c>
      <c r="V87" s="677">
        <f t="shared" si="44"/>
        <v>0</v>
      </c>
      <c r="W87" s="678"/>
      <c r="X87" s="155" t="str">
        <f t="shared" si="67"/>
        <v/>
      </c>
      <c r="Y87" s="156">
        <f t="shared" si="46"/>
        <v>0</v>
      </c>
      <c r="Z87" s="155">
        <f>IFERROR(IF(P43="ja",X90,IF($X$6=TRUE,X90,0)),0)</f>
        <v>0</v>
      </c>
      <c r="AA87" s="156" t="e">
        <f>IF((V87)&gt;=Bmg2Jahr5,AGHBTR_Jahr5,IF((V87)&gt;=Bmg1Jahr5,(RvBeitrJahr5*(V87+Z87))+(AvBeitrJahr5*(V87+Z87))+(U2UmlJahr5*(V87+Z87))+HBetrKVJahr5+HBetrPVJahr5,AGBTR_Jahr5*(V87+Z87)))</f>
        <v>#N/A</v>
      </c>
      <c r="AB87" s="156" t="e">
        <f t="shared" si="47"/>
        <v>#N/A</v>
      </c>
      <c r="AC87" s="156">
        <f t="shared" si="48"/>
        <v>0</v>
      </c>
      <c r="AD87" s="156" t="e">
        <f t="shared" si="64"/>
        <v>#N/A</v>
      </c>
      <c r="AE87" s="158"/>
      <c r="AF87" s="667" t="s">
        <v>22</v>
      </c>
      <c r="AG87" s="668"/>
      <c r="AH87" s="152">
        <f>EOMONTH(CONCATENATE("01.","01.",$AF$76),10)</f>
        <v>2161</v>
      </c>
      <c r="AI87" s="153">
        <f t="shared" si="49"/>
        <v>0</v>
      </c>
      <c r="AJ87" s="153">
        <f t="shared" si="50"/>
        <v>0</v>
      </c>
      <c r="AK87" s="153">
        <f t="shared" si="51"/>
        <v>0</v>
      </c>
      <c r="AL87" s="677">
        <f t="shared" si="52"/>
        <v>0</v>
      </c>
      <c r="AM87" s="678"/>
      <c r="AN87" s="155" t="str">
        <f t="shared" si="53"/>
        <v/>
      </c>
      <c r="AO87" s="156">
        <f t="shared" si="54"/>
        <v>0</v>
      </c>
      <c r="AP87" s="155">
        <f>IFERROR(IF(AB43="ja",AN90,IF($X$6=TRUE,AN90,0)),0)</f>
        <v>0</v>
      </c>
      <c r="AQ87" s="156" t="e">
        <f>IF((AL87)&gt;=Bmg2Jahr6,AGHBTR_Jahr6,IF((AL87)&gt;=Bmg1Jahr6,(RvBeitrJahr6*(AL87+AP87))+(AvBeitrJahr6*(AL87+AP87))+(U2UmlJahr6*(AL87+AP87))+HBetrKVJahr6+HBetrPVJahr6,AGBTR_Jahr6*(AL87+AP87)))</f>
        <v>#N/A</v>
      </c>
      <c r="AR87" s="156" t="e">
        <f t="shared" si="55"/>
        <v>#N/A</v>
      </c>
      <c r="AS87" s="156">
        <f t="shared" si="56"/>
        <v>0</v>
      </c>
      <c r="AT87" s="156" t="e">
        <f t="shared" si="65"/>
        <v>#N/A</v>
      </c>
    </row>
    <row r="88" spans="2:46" x14ac:dyDescent="0.35">
      <c r="B88" s="151" t="s">
        <v>23</v>
      </c>
      <c r="C88" s="152">
        <f>EOMONTH(CONCATENATE("01.","01.",$B$76),11)</f>
        <v>1461</v>
      </c>
      <c r="D88" s="153">
        <f t="shared" si="57"/>
        <v>0</v>
      </c>
      <c r="E88" s="153">
        <f t="shared" si="58"/>
        <v>0</v>
      </c>
      <c r="F88" s="153">
        <f t="shared" si="59"/>
        <v>0</v>
      </c>
      <c r="G88" s="154">
        <f t="shared" si="60"/>
        <v>0</v>
      </c>
      <c r="H88" s="155" t="str">
        <f t="shared" si="66"/>
        <v/>
      </c>
      <c r="I88" s="156">
        <f t="shared" si="40"/>
        <v>0</v>
      </c>
      <c r="J88" s="155">
        <v>0</v>
      </c>
      <c r="K88" s="156" t="e">
        <f>IF(G88&gt;=Bmg2Jahr4,AGHBTR_Jahr4,IF('HR-LM (U2,U5FOD,U7)'!G88&gt;=Bmg1Jahr4,(RvBeitrJahr4*G88)+(AvBeitrJahr4*G88)+(U2UmlJahr4*G88)+HBetrKVJahr4+HBetrPVJahr4,AGBTR_Jahr4*G88))</f>
        <v>#N/A</v>
      </c>
      <c r="L88" s="156" t="e">
        <f t="shared" si="41"/>
        <v>#N/A</v>
      </c>
      <c r="M88" s="156">
        <f t="shared" si="42"/>
        <v>0</v>
      </c>
      <c r="N88" s="156" t="e">
        <f t="shared" si="61"/>
        <v>#N/A</v>
      </c>
      <c r="O88" s="157"/>
      <c r="P88" s="667" t="s">
        <v>23</v>
      </c>
      <c r="Q88" s="668"/>
      <c r="R88" s="152">
        <f>EOMONTH(CONCATENATE("01.","01.",$P$76),11)</f>
        <v>1827</v>
      </c>
      <c r="S88" s="153">
        <f t="shared" si="62"/>
        <v>0</v>
      </c>
      <c r="T88" s="153">
        <f t="shared" si="63"/>
        <v>0</v>
      </c>
      <c r="U88" s="153">
        <f t="shared" si="43"/>
        <v>0</v>
      </c>
      <c r="V88" s="677">
        <f t="shared" si="44"/>
        <v>0</v>
      </c>
      <c r="W88" s="678"/>
      <c r="X88" s="155" t="str">
        <f t="shared" si="67"/>
        <v/>
      </c>
      <c r="Y88" s="156">
        <f t="shared" si="46"/>
        <v>0</v>
      </c>
      <c r="Z88" s="155">
        <v>0</v>
      </c>
      <c r="AA88" s="156" t="e">
        <f>IF(V88&gt;=Bmg2Jahr5,AGHBTR_Jahr5,IF('HR-LM (U2,U5FOD,U7)'!V88&gt;=Bmg1Jahr5,(RvBeitrJahr5*V88)+(AvBeitrJahr5*V88)+(U2UmlJahr5*V88)+HBetrKVJahr5+HBetrPVJahr5,AGBTR_Jahr5*V88))</f>
        <v>#N/A</v>
      </c>
      <c r="AB88" s="156" t="e">
        <f t="shared" si="47"/>
        <v>#N/A</v>
      </c>
      <c r="AC88" s="156">
        <f t="shared" si="48"/>
        <v>0</v>
      </c>
      <c r="AD88" s="156" t="e">
        <f t="shared" si="64"/>
        <v>#N/A</v>
      </c>
      <c r="AE88" s="158"/>
      <c r="AF88" s="667" t="s">
        <v>23</v>
      </c>
      <c r="AG88" s="668"/>
      <c r="AH88" s="152">
        <f>EOMONTH(CONCATENATE("01.","01.",$AF$76),11)</f>
        <v>2192</v>
      </c>
      <c r="AI88" s="153">
        <f t="shared" si="49"/>
        <v>0</v>
      </c>
      <c r="AJ88" s="153">
        <f t="shared" si="50"/>
        <v>0</v>
      </c>
      <c r="AK88" s="153">
        <f t="shared" si="51"/>
        <v>0</v>
      </c>
      <c r="AL88" s="677">
        <f t="shared" si="52"/>
        <v>0</v>
      </c>
      <c r="AM88" s="678"/>
      <c r="AN88" s="155" t="str">
        <f t="shared" si="53"/>
        <v/>
      </c>
      <c r="AO88" s="156">
        <f t="shared" si="54"/>
        <v>0</v>
      </c>
      <c r="AP88" s="155">
        <v>0</v>
      </c>
      <c r="AQ88" s="156" t="e">
        <f>IF(AL88&gt;=Bmg2Jahr6,AGHBTR_Jahr6,IF('HR-LM (U2,U5FOD,U7)'!AL88&gt;=Bmg1Jahr6,(RvBeitrJahr6*AL88)+(AvBeitrJahr6*AL88)+(U2UmlJahr6*AL88)+HBetrKVJahr6+HBetrPVJahr6,AGBTR_Jahr6*AL88))</f>
        <v>#N/A</v>
      </c>
      <c r="AR88" s="156" t="e">
        <f t="shared" si="55"/>
        <v>#N/A</v>
      </c>
      <c r="AS88" s="156">
        <f t="shared" si="56"/>
        <v>0</v>
      </c>
      <c r="AT88" s="156" t="e">
        <f t="shared" si="65"/>
        <v>#N/A</v>
      </c>
    </row>
    <row r="89" spans="2:46" ht="16.5" thickBot="1" x14ac:dyDescent="0.4">
      <c r="B89" s="187" t="s">
        <v>24</v>
      </c>
      <c r="C89" s="187"/>
      <c r="D89" s="187"/>
      <c r="E89" s="187"/>
      <c r="F89" s="187"/>
      <c r="G89" s="188">
        <f>SUM(G77:G88)</f>
        <v>0</v>
      </c>
      <c r="H89" s="189"/>
      <c r="I89" s="189">
        <f t="shared" ref="I89" si="68">SUM(I77:I88)</f>
        <v>0</v>
      </c>
      <c r="J89" s="189">
        <f t="shared" ref="J89:N89" si="69">SUM(J77:J88)</f>
        <v>0</v>
      </c>
      <c r="K89" s="189" t="e">
        <f t="shared" si="69"/>
        <v>#N/A</v>
      </c>
      <c r="L89" s="189" t="e">
        <f t="shared" si="69"/>
        <v>#N/A</v>
      </c>
      <c r="M89" s="189">
        <f t="shared" si="69"/>
        <v>0</v>
      </c>
      <c r="N89" s="189" t="e">
        <f t="shared" si="69"/>
        <v>#N/A</v>
      </c>
      <c r="O89" s="157"/>
      <c r="P89" s="765" t="s">
        <v>24</v>
      </c>
      <c r="Q89" s="766"/>
      <c r="R89" s="190"/>
      <c r="S89" s="190"/>
      <c r="T89" s="190"/>
      <c r="U89" s="190"/>
      <c r="V89" s="763">
        <f>SUM(V77:V88)</f>
        <v>0</v>
      </c>
      <c r="W89" s="764"/>
      <c r="X89" s="191"/>
      <c r="Y89" s="191">
        <f t="shared" ref="Y89:AD89" si="70">SUM(Y77:Y88)</f>
        <v>0</v>
      </c>
      <c r="Z89" s="191">
        <f t="shared" si="70"/>
        <v>0</v>
      </c>
      <c r="AA89" s="191" t="e">
        <f t="shared" si="70"/>
        <v>#N/A</v>
      </c>
      <c r="AB89" s="191" t="e">
        <f t="shared" si="70"/>
        <v>#N/A</v>
      </c>
      <c r="AC89" s="191">
        <f t="shared" si="70"/>
        <v>0</v>
      </c>
      <c r="AD89" s="191" t="e">
        <f t="shared" si="70"/>
        <v>#N/A</v>
      </c>
      <c r="AE89" s="158"/>
      <c r="AF89" s="759" t="s">
        <v>24</v>
      </c>
      <c r="AG89" s="760"/>
      <c r="AH89" s="192"/>
      <c r="AI89" s="192"/>
      <c r="AJ89" s="192"/>
      <c r="AK89" s="192"/>
      <c r="AL89" s="761">
        <f>SUM(AL77:AL88)</f>
        <v>0</v>
      </c>
      <c r="AM89" s="762"/>
      <c r="AN89" s="193"/>
      <c r="AO89" s="193">
        <f t="shared" ref="AO89:AT89" si="71">SUM(AO77:AO88)</f>
        <v>0</v>
      </c>
      <c r="AP89" s="193">
        <f t="shared" si="71"/>
        <v>0</v>
      </c>
      <c r="AQ89" s="193" t="e">
        <f t="shared" si="71"/>
        <v>#N/A</v>
      </c>
      <c r="AR89" s="193" t="e">
        <f t="shared" si="71"/>
        <v>#N/A</v>
      </c>
      <c r="AS89" s="193">
        <f t="shared" si="71"/>
        <v>0</v>
      </c>
      <c r="AT89" s="193" t="e">
        <f t="shared" si="71"/>
        <v>#N/A</v>
      </c>
    </row>
    <row r="90" spans="2:46" ht="16.5" thickBot="1" x14ac:dyDescent="0.4">
      <c r="B90" s="137"/>
      <c r="C90" s="137"/>
      <c r="D90" s="137"/>
      <c r="E90" s="137"/>
      <c r="F90" s="137"/>
      <c r="G90" s="166" t="s">
        <v>25</v>
      </c>
      <c r="H90" s="167">
        <f>IF(AND(J43="ja",$X$6=TRUE),(AVERAGE(H83:H88))/12*COUNTIFS(G77:G88,"&gt;0"),IF(AND($X$6=TRUE,J43="nein"),(AVERAGE(H77:H88)/12)*COUNTIFS(G77:G88,"&gt;0"),IF(AND(OR($X$6="",$X$6=FALSE),J43="ja"),(AVERAGE(H83:H88))/12*COUNTIFS(G77:G88,"&gt;0"),0)))</f>
        <v>0</v>
      </c>
      <c r="I90" s="167"/>
      <c r="J90" s="168">
        <f>IF(J87=0,0,J87/COUNTIFS(G77:G88,"&gt;0"))</f>
        <v>0</v>
      </c>
      <c r="V90" s="685" t="s">
        <v>25</v>
      </c>
      <c r="W90" s="686"/>
      <c r="X90" s="167">
        <f>IF(AND(P43="ja",$X$6=TRUE),(AVERAGE(X83:X88))/12*COUNTIFS(V77:W88,"&gt;0"),IF(AND($X$6=TRUE,P43="nein"),(AVERAGE(X77:X88)/12)*COUNTIFS(V77:W88,"&gt;0"),IF(AND(OR($X$6="",$X$6=FALSE),P43="ja"),(AVERAGE(X83:X88))/12*COUNTIFS(V77:W88,"&gt;0"),0)))</f>
        <v>0</v>
      </c>
      <c r="Y90" s="167"/>
      <c r="Z90" s="168">
        <f>IF(Z87=0,0,Z87/COUNTIFS(V77:W88,"&gt;0"))</f>
        <v>0</v>
      </c>
      <c r="AL90" s="685" t="s">
        <v>25</v>
      </c>
      <c r="AM90" s="686"/>
      <c r="AN90" s="167">
        <f>IF(AND(AB43="ja",$X$6=TRUE),(AVERAGE(AN83:AN88))/12*COUNTIFS(AL77:AM88,"&gt;0"),IF(AND($X$6=TRUE,AB43="nein"),(AVERAGE(AN77:AN88)/12)*COUNTIFS(AL77:AM88,"&gt;0"),IF(AND(OR($X$6="",$X$6=FALSE),AB43="ja"),(AVERAGE(AN83:AN88))/12*COUNTIFS(AL77:AM88,"&gt;0"),0)))</f>
        <v>0</v>
      </c>
      <c r="AO90" s="167"/>
      <c r="AP90" s="168">
        <f>IF(AP87=0,0,AP87/COUNTIFS(AL77:AM88,"&gt;0"))</f>
        <v>0</v>
      </c>
    </row>
    <row r="91" spans="2:46" x14ac:dyDescent="0.35">
      <c r="Q91" s="138"/>
      <c r="R91" s="138"/>
      <c r="S91" s="138"/>
      <c r="T91" s="138"/>
      <c r="U91" s="138"/>
    </row>
    <row r="92" spans="2:46" ht="16.5" hidden="1" outlineLevel="1" thickBot="1" x14ac:dyDescent="0.4">
      <c r="B92" s="169" t="s">
        <v>107</v>
      </c>
      <c r="C92" s="169"/>
      <c r="D92" s="169"/>
      <c r="E92" s="169"/>
      <c r="F92" s="169"/>
      <c r="G92" s="170">
        <f>IFERROR((SUM(G77:G88)/COUNTIFS(G77:G88,"&gt;0")),0)</f>
        <v>0</v>
      </c>
      <c r="H92" s="171">
        <f>IFERROR((SUM(H78:H89)/COUNTIFS(H78:H89,"&gt;0")),0)</f>
        <v>0</v>
      </c>
      <c r="I92" s="171"/>
      <c r="J92" s="171">
        <f>IFERROR((SUM(J77:J88)/COUNTIFS(J77:J88,"&gt;0")),0)</f>
        <v>0</v>
      </c>
      <c r="K92" s="171">
        <f t="shared" ref="K92:N92" si="72">IFERROR((SUM(K77:K88)/COUNTIFS(K77:K88,"&gt;0")),0)</f>
        <v>0</v>
      </c>
      <c r="L92" s="171">
        <f t="shared" si="72"/>
        <v>0</v>
      </c>
      <c r="M92" s="171">
        <f t="shared" si="72"/>
        <v>0</v>
      </c>
      <c r="N92" s="171">
        <f t="shared" si="72"/>
        <v>0</v>
      </c>
      <c r="O92" s="149"/>
      <c r="P92" s="681" t="s">
        <v>103</v>
      </c>
      <c r="Q92" s="682"/>
      <c r="R92" s="172"/>
      <c r="S92" s="172"/>
      <c r="T92" s="172"/>
      <c r="U92" s="172"/>
      <c r="V92" s="683">
        <f>IFERROR((SUM(V77:W88)/COUNTIFS(V77:W88,"&gt;0")),0)</f>
        <v>0</v>
      </c>
      <c r="W92" s="684"/>
      <c r="X92" s="173" t="e">
        <f>IF($AD$8="ja",((AVERAGE(X78:X89))/12)*COUNTIFS(V78:W89,"&gt;0"),((AVERAGE(X84:X89))/12)*COUNTIFS(V78:W89,"&gt;0"))</f>
        <v>#DIV/0!</v>
      </c>
      <c r="Y92" s="173"/>
      <c r="Z92" s="171">
        <f>IFERROR((SUM(Z77:Z88)/COUNTIFS(Z77:Z88,"&gt;0")),0)</f>
        <v>0</v>
      </c>
      <c r="AA92" s="171">
        <f t="shared" ref="AA92:AD92" si="73">IFERROR((SUM(AA77:AA88)/COUNTIFS(AA77:AA88,"&gt;0")),0)</f>
        <v>0</v>
      </c>
      <c r="AB92" s="171">
        <f t="shared" si="73"/>
        <v>0</v>
      </c>
      <c r="AC92" s="171">
        <f t="shared" si="73"/>
        <v>0</v>
      </c>
      <c r="AD92" s="171">
        <f t="shared" si="73"/>
        <v>0</v>
      </c>
      <c r="AF92" s="681" t="s">
        <v>103</v>
      </c>
      <c r="AG92" s="682"/>
      <c r="AH92" s="172"/>
      <c r="AI92" s="172"/>
      <c r="AJ92" s="172"/>
      <c r="AK92" s="172"/>
      <c r="AL92" s="683">
        <f>IFERROR((SUM(AL77:AM88)/COUNTIFS(AL77:AM88,"&gt;0")),0)</f>
        <v>0</v>
      </c>
      <c r="AM92" s="684"/>
      <c r="AN92" s="173" t="e">
        <f>IF($AD$8="ja",((AVERAGE(AN78:AN89))/12)*COUNTIFS(AL78:AM89,"&gt;0"),((AVERAGE(AN84:AN89))/12)*COUNTIFS(AL78:AM89,"&gt;0"))</f>
        <v>#DIV/0!</v>
      </c>
      <c r="AO92" s="173"/>
      <c r="AP92" s="171">
        <f>IFERROR((SUM(AP77:AP88)/COUNTIFS(AP77:AP88,"&gt;0")),0)</f>
        <v>0</v>
      </c>
      <c r="AQ92" s="171">
        <f t="shared" ref="AQ92:AT92" si="74">IFERROR((SUM(AQ77:AQ88)/COUNTIFS(AQ77:AQ88,"&gt;0")),0)</f>
        <v>0</v>
      </c>
      <c r="AR92" s="171">
        <f t="shared" si="74"/>
        <v>0</v>
      </c>
      <c r="AS92" s="171">
        <f t="shared" si="74"/>
        <v>0</v>
      </c>
      <c r="AT92" s="171">
        <f t="shared" si="74"/>
        <v>0</v>
      </c>
    </row>
    <row r="93" spans="2:46" collapsed="1" x14ac:dyDescent="0.35"/>
    <row r="96" spans="2:46" ht="45.75" customHeight="1" thickBot="1" x14ac:dyDescent="0.4">
      <c r="B96" s="666" t="s">
        <v>178</v>
      </c>
      <c r="C96" s="666"/>
      <c r="D96" s="666"/>
      <c r="E96" s="666"/>
      <c r="F96" s="666"/>
      <c r="G96" s="666"/>
      <c r="H96" s="666"/>
      <c r="I96" s="666"/>
      <c r="J96" s="666"/>
      <c r="K96" s="666"/>
      <c r="L96" s="666"/>
      <c r="P96" s="691" t="s">
        <v>26</v>
      </c>
      <c r="Q96" s="691"/>
      <c r="R96" s="691"/>
      <c r="S96" s="691"/>
      <c r="T96" s="691"/>
      <c r="U96" s="691"/>
      <c r="V96" s="691"/>
      <c r="W96" s="691"/>
      <c r="X96" s="204"/>
      <c r="Y96" s="204"/>
      <c r="Z96" s="690" t="e">
        <f>AD89+N89+AD69+N69+AT69+AT89</f>
        <v>#N/A</v>
      </c>
      <c r="AA96" s="690"/>
      <c r="AB96" s="690"/>
      <c r="AC96" s="690"/>
    </row>
    <row r="97" spans="26:32" ht="16.5" thickTop="1" x14ac:dyDescent="0.35"/>
    <row r="99" spans="26:32" ht="19.5" customHeight="1" x14ac:dyDescent="0.35"/>
    <row r="103" spans="26:32" ht="42.75" customHeight="1" outlineLevel="2" thickBot="1" x14ac:dyDescent="0.4">
      <c r="Z103" s="88" t="s">
        <v>112</v>
      </c>
      <c r="AB103" s="431"/>
      <c r="AC103" s="431"/>
      <c r="AD103" s="431"/>
      <c r="AE103" s="431"/>
      <c r="AF103" s="431"/>
    </row>
    <row r="104" spans="26:32" ht="45" customHeight="1" outlineLevel="2" x14ac:dyDescent="0.35">
      <c r="Z104" s="195">
        <f>J20</f>
        <v>1900</v>
      </c>
      <c r="AA104" s="196">
        <f>Z104+1</f>
        <v>1901</v>
      </c>
      <c r="AB104" s="197">
        <f>AA104+1</f>
        <v>1902</v>
      </c>
      <c r="AC104" s="198">
        <f>AB104+1</f>
        <v>1903</v>
      </c>
      <c r="AD104" s="199">
        <f>AC104+1</f>
        <v>1904</v>
      </c>
      <c r="AE104" s="200">
        <f>AD104+1</f>
        <v>1905</v>
      </c>
    </row>
    <row r="105" spans="26:32" ht="39" customHeight="1" outlineLevel="2" thickBot="1" x14ac:dyDescent="0.4">
      <c r="Z105" s="201" t="e">
        <f>N69</f>
        <v>#VALUE!</v>
      </c>
      <c r="AA105" s="202" t="e">
        <f>AD69</f>
        <v>#N/A</v>
      </c>
      <c r="AB105" s="202" t="e">
        <f>AT69</f>
        <v>#N/A</v>
      </c>
      <c r="AC105" s="202" t="e">
        <f>N89</f>
        <v>#N/A</v>
      </c>
      <c r="AD105" s="202" t="e">
        <f>AD89</f>
        <v>#N/A</v>
      </c>
      <c r="AE105" s="203" t="e">
        <f>AT89</f>
        <v>#N/A</v>
      </c>
    </row>
    <row r="106" spans="26:32" outlineLevel="2" x14ac:dyDescent="0.35"/>
  </sheetData>
  <sheetProtection formatCells="0" formatColumns="0" formatRows="0" insertColumns="0" insertRows="0" insertHyperlinks="0" deleteColumns="0" deleteRows="0" sort="0" autoFilter="0" pivotTables="0"/>
  <mergeCells count="300">
    <mergeCell ref="B51:G51"/>
    <mergeCell ref="B96:L96"/>
    <mergeCell ref="P96:W96"/>
    <mergeCell ref="Z96:AC96"/>
    <mergeCell ref="V90:W90"/>
    <mergeCell ref="AL90:AM90"/>
    <mergeCell ref="P92:Q92"/>
    <mergeCell ref="V92:W92"/>
    <mergeCell ref="AF92:AG92"/>
    <mergeCell ref="AL92:AM92"/>
    <mergeCell ref="P88:Q88"/>
    <mergeCell ref="V88:W88"/>
    <mergeCell ref="AF88:AG88"/>
    <mergeCell ref="AL88:AM88"/>
    <mergeCell ref="P89:Q89"/>
    <mergeCell ref="V89:W89"/>
    <mergeCell ref="AF89:AG89"/>
    <mergeCell ref="AL89:AM89"/>
    <mergeCell ref="P86:Q86"/>
    <mergeCell ref="V86:W86"/>
    <mergeCell ref="AF86:AG86"/>
    <mergeCell ref="AL86:AM86"/>
    <mergeCell ref="P87:Q87"/>
    <mergeCell ref="V87:W87"/>
    <mergeCell ref="AF87:AG87"/>
    <mergeCell ref="AL87:AM87"/>
    <mergeCell ref="P84:Q84"/>
    <mergeCell ref="V84:W84"/>
    <mergeCell ref="AF84:AG84"/>
    <mergeCell ref="AL84:AM84"/>
    <mergeCell ref="P85:Q85"/>
    <mergeCell ref="V85:W85"/>
    <mergeCell ref="AF85:AG85"/>
    <mergeCell ref="AL85:AM85"/>
    <mergeCell ref="P82:Q82"/>
    <mergeCell ref="V82:W82"/>
    <mergeCell ref="AF82:AG82"/>
    <mergeCell ref="AL82:AM82"/>
    <mergeCell ref="P83:Q83"/>
    <mergeCell ref="V83:W83"/>
    <mergeCell ref="AF83:AG83"/>
    <mergeCell ref="AL83:AM83"/>
    <mergeCell ref="P80:Q80"/>
    <mergeCell ref="V80:W80"/>
    <mergeCell ref="AF80:AG80"/>
    <mergeCell ref="AL80:AM80"/>
    <mergeCell ref="P81:Q81"/>
    <mergeCell ref="V81:W81"/>
    <mergeCell ref="AF81:AG81"/>
    <mergeCell ref="AL81:AM81"/>
    <mergeCell ref="P78:Q78"/>
    <mergeCell ref="V78:W78"/>
    <mergeCell ref="AF78:AG78"/>
    <mergeCell ref="AL78:AM78"/>
    <mergeCell ref="P79:Q79"/>
    <mergeCell ref="V79:W79"/>
    <mergeCell ref="AF79:AG79"/>
    <mergeCell ref="AL79:AM79"/>
    <mergeCell ref="P76:Q76"/>
    <mergeCell ref="V76:W76"/>
    <mergeCell ref="AF76:AG76"/>
    <mergeCell ref="AL76:AM76"/>
    <mergeCell ref="P77:Q77"/>
    <mergeCell ref="V77:W77"/>
    <mergeCell ref="AF77:AG77"/>
    <mergeCell ref="AL77:AM77"/>
    <mergeCell ref="P72:Q72"/>
    <mergeCell ref="V72:W72"/>
    <mergeCell ref="AF72:AG72"/>
    <mergeCell ref="AL72:AM72"/>
    <mergeCell ref="P75:Q75"/>
    <mergeCell ref="V75:W75"/>
    <mergeCell ref="AF75:AG75"/>
    <mergeCell ref="AL75:AM75"/>
    <mergeCell ref="P69:Q69"/>
    <mergeCell ref="V69:W69"/>
    <mergeCell ref="AF69:AG69"/>
    <mergeCell ref="AL69:AM69"/>
    <mergeCell ref="V70:W70"/>
    <mergeCell ref="AL70:AM70"/>
    <mergeCell ref="P67:Q67"/>
    <mergeCell ref="V67:W67"/>
    <mergeCell ref="AF67:AG67"/>
    <mergeCell ref="AL67:AM67"/>
    <mergeCell ref="P68:Q68"/>
    <mergeCell ref="V68:W68"/>
    <mergeCell ref="AF68:AG68"/>
    <mergeCell ref="AL68:AM68"/>
    <mergeCell ref="P65:Q65"/>
    <mergeCell ref="V65:W65"/>
    <mergeCell ref="AF65:AG65"/>
    <mergeCell ref="AL65:AM65"/>
    <mergeCell ref="P66:Q66"/>
    <mergeCell ref="V66:W66"/>
    <mergeCell ref="AF66:AG66"/>
    <mergeCell ref="AL66:AM66"/>
    <mergeCell ref="P63:Q63"/>
    <mergeCell ref="V63:W63"/>
    <mergeCell ref="AF63:AG63"/>
    <mergeCell ref="AL63:AM63"/>
    <mergeCell ref="P64:Q64"/>
    <mergeCell ref="V64:W64"/>
    <mergeCell ref="AF64:AG64"/>
    <mergeCell ref="AL64:AM64"/>
    <mergeCell ref="P61:Q61"/>
    <mergeCell ref="V61:W61"/>
    <mergeCell ref="AF61:AG61"/>
    <mergeCell ref="AL61:AM61"/>
    <mergeCell ref="P62:Q62"/>
    <mergeCell ref="V62:W62"/>
    <mergeCell ref="AF62:AG62"/>
    <mergeCell ref="AL62:AM62"/>
    <mergeCell ref="P59:Q59"/>
    <mergeCell ref="V59:W59"/>
    <mergeCell ref="AF59:AG59"/>
    <mergeCell ref="AL59:AM59"/>
    <mergeCell ref="P60:Q60"/>
    <mergeCell ref="V60:W60"/>
    <mergeCell ref="AF60:AG60"/>
    <mergeCell ref="AL60:AM60"/>
    <mergeCell ref="AF57:AG57"/>
    <mergeCell ref="AL57:AM57"/>
    <mergeCell ref="P58:Q58"/>
    <mergeCell ref="V58:W58"/>
    <mergeCell ref="AF58:AG58"/>
    <mergeCell ref="AL58:AM58"/>
    <mergeCell ref="AF46:AG46"/>
    <mergeCell ref="P55:Q55"/>
    <mergeCell ref="V55:W55"/>
    <mergeCell ref="AF55:AG55"/>
    <mergeCell ref="AL55:AM55"/>
    <mergeCell ref="P56:Q56"/>
    <mergeCell ref="V56:W56"/>
    <mergeCell ref="AF56:AG56"/>
    <mergeCell ref="AL56:AM56"/>
    <mergeCell ref="V46:Y46"/>
    <mergeCell ref="J46:K46"/>
    <mergeCell ref="L46:M46"/>
    <mergeCell ref="N46:O46"/>
    <mergeCell ref="P46:Q46"/>
    <mergeCell ref="Z46:AA46"/>
    <mergeCell ref="AB46:AC46"/>
    <mergeCell ref="AD46:AE46"/>
    <mergeCell ref="P57:Q57"/>
    <mergeCell ref="V57:W57"/>
    <mergeCell ref="AB44:AC44"/>
    <mergeCell ref="AD44:AE44"/>
    <mergeCell ref="AF44:AG44"/>
    <mergeCell ref="J45:K45"/>
    <mergeCell ref="L45:M45"/>
    <mergeCell ref="N45:O45"/>
    <mergeCell ref="P45:Q45"/>
    <mergeCell ref="Z45:AA45"/>
    <mergeCell ref="AB45:AC45"/>
    <mergeCell ref="J44:K44"/>
    <mergeCell ref="L44:M44"/>
    <mergeCell ref="N44:O44"/>
    <mergeCell ref="P44:Q44"/>
    <mergeCell ref="Z44:AA44"/>
    <mergeCell ref="AD45:AE45"/>
    <mergeCell ref="AF45:AG45"/>
    <mergeCell ref="V44:Y44"/>
    <mergeCell ref="V45:Y45"/>
    <mergeCell ref="AB42:AC42"/>
    <mergeCell ref="AD42:AE42"/>
    <mergeCell ref="AF42:AG42"/>
    <mergeCell ref="J43:O43"/>
    <mergeCell ref="P43:AA43"/>
    <mergeCell ref="AB43:AG43"/>
    <mergeCell ref="J42:K42"/>
    <mergeCell ref="L42:M42"/>
    <mergeCell ref="N42:O42"/>
    <mergeCell ref="P42:Q42"/>
    <mergeCell ref="Z42:AA42"/>
    <mergeCell ref="V42:Y42"/>
    <mergeCell ref="J41:K41"/>
    <mergeCell ref="L41:M41"/>
    <mergeCell ref="N41:O41"/>
    <mergeCell ref="P41:Q41"/>
    <mergeCell ref="Z41:AA41"/>
    <mergeCell ref="AB41:AC41"/>
    <mergeCell ref="AD41:AE41"/>
    <mergeCell ref="AF41:AG41"/>
    <mergeCell ref="V41:Y41"/>
    <mergeCell ref="J40:K40"/>
    <mergeCell ref="L40:M40"/>
    <mergeCell ref="N40:O40"/>
    <mergeCell ref="P40:Q40"/>
    <mergeCell ref="Z40:AA40"/>
    <mergeCell ref="AB40:AC40"/>
    <mergeCell ref="AD40:AE40"/>
    <mergeCell ref="AF40:AG40"/>
    <mergeCell ref="V40:Y40"/>
    <mergeCell ref="J39:K39"/>
    <mergeCell ref="L39:M39"/>
    <mergeCell ref="N39:O39"/>
    <mergeCell ref="P39:Q39"/>
    <mergeCell ref="Z39:AA39"/>
    <mergeCell ref="AB39:AC39"/>
    <mergeCell ref="AD39:AE39"/>
    <mergeCell ref="AF39:AG39"/>
    <mergeCell ref="V39:Y39"/>
    <mergeCell ref="J34:O34"/>
    <mergeCell ref="P34:AA34"/>
    <mergeCell ref="AB34:AG34"/>
    <mergeCell ref="J38:K38"/>
    <mergeCell ref="L38:M38"/>
    <mergeCell ref="N38:O38"/>
    <mergeCell ref="P38:Q38"/>
    <mergeCell ref="Z38:AA38"/>
    <mergeCell ref="AB38:AC38"/>
    <mergeCell ref="AD38:AE38"/>
    <mergeCell ref="AF38:AG38"/>
    <mergeCell ref="W35:Y35"/>
    <mergeCell ref="W36:Y36"/>
    <mergeCell ref="V38:Y38"/>
    <mergeCell ref="J32:K32"/>
    <mergeCell ref="L32:M32"/>
    <mergeCell ref="N32:O32"/>
    <mergeCell ref="P32:Q32"/>
    <mergeCell ref="Z32:AA32"/>
    <mergeCell ref="AB32:AC32"/>
    <mergeCell ref="AD32:AE32"/>
    <mergeCell ref="AF32:AG32"/>
    <mergeCell ref="V32:Y32"/>
    <mergeCell ref="AB30:AC30"/>
    <mergeCell ref="AD30:AE30"/>
    <mergeCell ref="AF30:AG30"/>
    <mergeCell ref="J31:K31"/>
    <mergeCell ref="L31:M31"/>
    <mergeCell ref="N31:O31"/>
    <mergeCell ref="P31:Q31"/>
    <mergeCell ref="Z31:AA31"/>
    <mergeCell ref="AB31:AC31"/>
    <mergeCell ref="J30:K30"/>
    <mergeCell ref="L30:M30"/>
    <mergeCell ref="N30:O30"/>
    <mergeCell ref="P30:Q30"/>
    <mergeCell ref="Z30:AA30"/>
    <mergeCell ref="AD31:AE31"/>
    <mergeCell ref="AF31:AG31"/>
    <mergeCell ref="V30:Y30"/>
    <mergeCell ref="V31:Y31"/>
    <mergeCell ref="AB28:AC28"/>
    <mergeCell ref="AD28:AE28"/>
    <mergeCell ref="AF28:AG28"/>
    <mergeCell ref="J29:O29"/>
    <mergeCell ref="P29:AA29"/>
    <mergeCell ref="AB29:AG29"/>
    <mergeCell ref="J28:K28"/>
    <mergeCell ref="L28:M28"/>
    <mergeCell ref="N28:O28"/>
    <mergeCell ref="P28:Q28"/>
    <mergeCell ref="Z28:AA28"/>
    <mergeCell ref="V28:Y28"/>
    <mergeCell ref="J27:K27"/>
    <mergeCell ref="L27:M27"/>
    <mergeCell ref="N27:O27"/>
    <mergeCell ref="P27:Q27"/>
    <mergeCell ref="Z27:AA27"/>
    <mergeCell ref="AB27:AC27"/>
    <mergeCell ref="AD27:AE27"/>
    <mergeCell ref="AF27:AG27"/>
    <mergeCell ref="V27:Y27"/>
    <mergeCell ref="AD25:AE25"/>
    <mergeCell ref="AF25:AG25"/>
    <mergeCell ref="J26:K26"/>
    <mergeCell ref="L26:M26"/>
    <mergeCell ref="N26:O26"/>
    <mergeCell ref="P26:Q26"/>
    <mergeCell ref="Z26:AA26"/>
    <mergeCell ref="AB26:AC26"/>
    <mergeCell ref="AD26:AE26"/>
    <mergeCell ref="AF26:AG26"/>
    <mergeCell ref="J25:K25"/>
    <mergeCell ref="L25:M25"/>
    <mergeCell ref="N25:O25"/>
    <mergeCell ref="P25:Q25"/>
    <mergeCell ref="Z25:AA25"/>
    <mergeCell ref="AB25:AC25"/>
    <mergeCell ref="V25:Y25"/>
    <mergeCell ref="V26:Y26"/>
    <mergeCell ref="J24:K24"/>
    <mergeCell ref="L24:M24"/>
    <mergeCell ref="N24:O24"/>
    <mergeCell ref="P24:Q24"/>
    <mergeCell ref="Z24:AA24"/>
    <mergeCell ref="I5:K5"/>
    <mergeCell ref="AE5:AG5"/>
    <mergeCell ref="I6:K6"/>
    <mergeCell ref="AE6:AG6"/>
    <mergeCell ref="J20:O20"/>
    <mergeCell ref="P20:AA20"/>
    <mergeCell ref="AB20:AG20"/>
    <mergeCell ref="AB24:AC24"/>
    <mergeCell ref="AD24:AE24"/>
    <mergeCell ref="AF24:AG24"/>
    <mergeCell ref="W22:Y22"/>
    <mergeCell ref="V24:Y24"/>
    <mergeCell ref="W21:Y21"/>
  </mergeCells>
  <conditionalFormatting sqref="W6">
    <cfRule type="expression" dxfId="54" priority="15">
      <formula>ISBLANK($W$6)</formula>
    </cfRule>
  </conditionalFormatting>
  <conditionalFormatting sqref="AD45:AE45 AD31:AE31 L31:M31 L45:M45">
    <cfRule type="cellIs" dxfId="53" priority="12" operator="equal">
      <formula>0</formula>
    </cfRule>
  </conditionalFormatting>
  <conditionalFormatting sqref="M6">
    <cfRule type="expression" dxfId="52" priority="9">
      <formula>ISBLANK($M$6)</formula>
    </cfRule>
    <cfRule type="expression" dxfId="51" priority="10">
      <formula>ISBLANK($M$6)</formula>
    </cfRule>
  </conditionalFormatting>
  <conditionalFormatting sqref="N6">
    <cfRule type="expression" dxfId="50" priority="8">
      <formula>ISBLANK($N$6)</formula>
    </cfRule>
  </conditionalFormatting>
  <conditionalFormatting sqref="O8">
    <cfRule type="expression" dxfId="49" priority="7">
      <formula>ISBLANK($O$8)</formula>
    </cfRule>
  </conditionalFormatting>
  <conditionalFormatting sqref="O10">
    <cfRule type="expression" dxfId="48" priority="6">
      <formula>ISBLANK($O$8)</formula>
    </cfRule>
  </conditionalFormatting>
  <conditionalFormatting sqref="P6">
    <cfRule type="expression" dxfId="47" priority="5">
      <formula>ISBLANK($P$6)</formula>
    </cfRule>
  </conditionalFormatting>
  <conditionalFormatting sqref="Q6">
    <cfRule type="expression" dxfId="46" priority="4">
      <formula>ISBLANK($Q$6)</formula>
    </cfRule>
  </conditionalFormatting>
  <conditionalFormatting sqref="V6">
    <cfRule type="expression" dxfId="45" priority="3">
      <formula>ISBLANK($V$6)</formula>
    </cfRule>
  </conditionalFormatting>
  <conditionalFormatting sqref="V31">
    <cfRule type="cellIs" dxfId="44" priority="2" operator="equal">
      <formula>0</formula>
    </cfRule>
  </conditionalFormatting>
  <conditionalFormatting sqref="V45">
    <cfRule type="cellIs" dxfId="43" priority="1" operator="equal">
      <formula>0</formula>
    </cfRule>
  </conditionalFormatting>
  <dataValidations disablePrompts="1" count="5">
    <dataValidation operator="lessThan" allowBlank="1" showInputMessage="1" showErrorMessage="1" sqref="Z10 W8" xr:uid="{417756F8-881C-419C-8B50-29B4A9427FA3}"/>
    <dataValidation type="whole" operator="lessThan" allowBlank="1" showInputMessage="1" showErrorMessage="1" sqref="W11" xr:uid="{6777531C-055F-470C-BCC5-260D70614886}">
      <formula1>101</formula1>
    </dataValidation>
    <dataValidation errorStyle="warning" operator="lessThan" allowBlank="1" showInputMessage="1" showErrorMessage="1" sqref="W6:W7 W9" xr:uid="{A1D56A2D-FBCB-467A-A30E-7C3A3359ECC9}"/>
    <dataValidation type="date" allowBlank="1" showInputMessage="1" showErrorMessage="1" sqref="V6:V7 M6:N7 R22:U22 AF22:AG22 N22:O22 X22:AA22 J22" xr:uid="{256F1DE2-0924-427E-B8DA-A3FA0A72C50F}">
      <formula1>36526</formula1>
      <formula2>401768</formula2>
    </dataValidation>
    <dataValidation type="date" allowBlank="1" showInputMessage="1" showErrorMessage="1" sqref="R36:U36 X36:AA36 AF36:AG36 N36:O36" xr:uid="{4BAE732A-04EF-4BB4-9956-E98D90A7C160}">
      <formula1>36526</formula1>
      <formula2>2958465</formula2>
    </dataValidation>
  </dataValidations>
  <printOptions horizontalCentered="1"/>
  <pageMargins left="0.7" right="0.7" top="0.75" bottom="0.75" header="0.3" footer="0.3"/>
  <pageSetup paperSize="9" scale="28" orientation="landscape" r:id="rId1"/>
  <headerFooter>
    <oddHeader xml:space="preserve">&amp;L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85346" r:id="rId4" name="Check Box 2">
              <controlPr defaultSize="0" autoFill="0" autoLine="0" autoPict="0" altText="kalkulatoriche Tariferhöhung berücksichtigen">
                <anchor moveWithCells="1">
                  <from>
                    <xdr:col>27</xdr:col>
                    <xdr:colOff>400050</xdr:colOff>
                    <xdr:row>4</xdr:row>
                    <xdr:rowOff>66675</xdr:rowOff>
                  </from>
                  <to>
                    <xdr:col>29</xdr:col>
                    <xdr:colOff>171450</xdr:colOff>
                    <xdr:row>4</xdr:row>
                    <xdr:rowOff>571500</xdr:rowOff>
                  </to>
                </anchor>
              </controlPr>
            </control>
          </mc:Choice>
        </mc:AlternateContent>
        <mc:AlternateContent xmlns:mc="http://schemas.openxmlformats.org/markup-compatibility/2006">
          <mc:Choice Requires="x14">
            <control shapeId="185348" r:id="rId5" name="Check Box 4">
              <controlPr defaultSize="0" autoFill="0" autoLine="0" autoPict="0" altText="Einmalzahlung (EZ)">
                <anchor moveWithCells="1">
                  <from>
                    <xdr:col>27</xdr:col>
                    <xdr:colOff>419100</xdr:colOff>
                    <xdr:row>5</xdr:row>
                    <xdr:rowOff>133350</xdr:rowOff>
                  </from>
                  <to>
                    <xdr:col>29</xdr:col>
                    <xdr:colOff>171450</xdr:colOff>
                    <xdr:row>6</xdr:row>
                    <xdr:rowOff>57150</xdr:rowOff>
                  </to>
                </anchor>
              </controlPr>
            </control>
          </mc:Choice>
        </mc:AlternateContent>
        <mc:AlternateContent xmlns:mc="http://schemas.openxmlformats.org/markup-compatibility/2006">
          <mc:Choice Requires="x14">
            <control shapeId="185356" r:id="rId6" name="Check Box 12">
              <controlPr defaultSize="0" autoFill="0" autoLine="0" autoPict="0" altText="Anteilige JSZ berechnen_x000a_">
                <anchor moveWithCells="1">
                  <from>
                    <xdr:col>25</xdr:col>
                    <xdr:colOff>361950</xdr:colOff>
                    <xdr:row>4</xdr:row>
                    <xdr:rowOff>66675</xdr:rowOff>
                  </from>
                  <to>
                    <xdr:col>27</xdr:col>
                    <xdr:colOff>133350</xdr:colOff>
                    <xdr:row>4</xdr:row>
                    <xdr:rowOff>581025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7100DB95-C441-41CC-9A77-10C72729BFBD}">
          <x14:formula1>
            <xm:f>'DROP DOWN'!$G$3:$G$22</xm:f>
          </x14:formula1>
          <xm:sqref>N25:O25 P6:P7 Z25:AA25 AF25:AG25 Z39:AA39 AF39:AG39 N39:O39</xm:sqref>
        </x14:dataValidation>
        <x14:dataValidation type="list" allowBlank="1" showInputMessage="1" showErrorMessage="1" xr:uid="{76EB81CD-6215-462B-9954-9120CAE687F4}">
          <x14:formula1>
            <xm:f>'DROP DOWN'!$H$3:$H$9</xm:f>
          </x14:formula1>
          <xm:sqref>N26:O26 N40:O40 Z26:AA26 AF26:AG26 AF40:AG40 Z40:AA40 R6:R7 Q6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37BC5-C811-4714-A993-C32C3DD15247}">
  <sheetPr codeName="Tabelle6">
    <tabColor theme="8" tint="0.59999389629810485"/>
    <pageSetUpPr fitToPage="1"/>
  </sheetPr>
  <dimension ref="B1:AU110"/>
  <sheetViews>
    <sheetView showGridLines="0" view="pageBreakPreview" zoomScale="55" zoomScaleNormal="70" zoomScaleSheetLayoutView="55" workbookViewId="0">
      <pane ySplit="18" topLeftCell="A19" activePane="bottomLeft" state="frozen"/>
      <selection activeCell="AR64" sqref="AR64"/>
      <selection pane="bottomLeft" activeCell="AR64" sqref="AR64"/>
    </sheetView>
  </sheetViews>
  <sheetFormatPr baseColWidth="10" defaultColWidth="11.42578125" defaultRowHeight="15.75" outlineLevelRow="1" outlineLevelCol="1" x14ac:dyDescent="0.35"/>
  <cols>
    <col min="1" max="1" width="5.7109375" style="58" customWidth="1"/>
    <col min="2" max="2" width="20.140625" style="58" customWidth="1"/>
    <col min="3" max="3" width="25.140625" style="58" hidden="1" customWidth="1" outlineLevel="1"/>
    <col min="4" max="5" width="12.7109375" style="58" hidden="1" customWidth="1" outlineLevel="1"/>
    <col min="6" max="6" width="11.5703125" style="58" hidden="1" customWidth="1" outlineLevel="1"/>
    <col min="7" max="7" width="28.85546875" style="58" customWidth="1" collapsed="1"/>
    <col min="8" max="8" width="21.7109375" style="58" hidden="1" customWidth="1" outlineLevel="1"/>
    <col min="9" max="9" width="13.42578125" style="58" customWidth="1" collapsed="1"/>
    <col min="10" max="11" width="13.42578125" style="58" customWidth="1"/>
    <col min="12" max="12" width="13.85546875" style="58" customWidth="1"/>
    <col min="13" max="14" width="13.42578125" style="58" customWidth="1"/>
    <col min="15" max="15" width="15.140625" style="58" customWidth="1"/>
    <col min="16" max="16" width="14.7109375" style="58" customWidth="1"/>
    <col min="17" max="17" width="13.42578125" style="58" customWidth="1"/>
    <col min="18" max="21" width="12.7109375" style="58" hidden="1" customWidth="1" outlineLevel="1"/>
    <col min="22" max="22" width="15.28515625" style="58" customWidth="1" collapsed="1"/>
    <col min="23" max="23" width="12.28515625" style="58" customWidth="1"/>
    <col min="24" max="24" width="12.7109375" style="58" hidden="1" customWidth="1" outlineLevel="1"/>
    <col min="25" max="25" width="10.7109375" style="58" customWidth="1" collapsed="1"/>
    <col min="26" max="33" width="13.42578125" style="58" customWidth="1"/>
    <col min="34" max="34" width="18" style="58" hidden="1" customWidth="1" outlineLevel="1"/>
    <col min="35" max="37" width="14.140625" style="58" hidden="1" customWidth="1" outlineLevel="1"/>
    <col min="38" max="38" width="13.42578125" style="58" customWidth="1" collapsed="1"/>
    <col min="39" max="39" width="13.42578125" style="58" customWidth="1"/>
    <col min="40" max="40" width="13.7109375" style="58" hidden="1" customWidth="1" outlineLevel="1"/>
    <col min="41" max="41" width="13.7109375" style="58" customWidth="1" collapsed="1"/>
    <col min="42" max="46" width="13.42578125" style="58" customWidth="1"/>
    <col min="47" max="47" width="16.28515625" style="58" customWidth="1"/>
    <col min="48" max="16384" width="11.42578125" style="58"/>
  </cols>
  <sheetData>
    <row r="1" spans="2:43" ht="27.75" customHeight="1" x14ac:dyDescent="0.35">
      <c r="G1" s="59"/>
    </row>
    <row r="2" spans="2:43" ht="31.5" x14ac:dyDescent="0.6">
      <c r="B2" s="323" t="s">
        <v>98</v>
      </c>
      <c r="G2" s="60"/>
      <c r="L2" s="61"/>
      <c r="P2" s="61"/>
      <c r="R2" s="61"/>
      <c r="S2" s="61"/>
      <c r="T2" s="61"/>
      <c r="U2" s="61"/>
      <c r="V2" s="61"/>
      <c r="W2" s="61"/>
      <c r="X2" s="62"/>
      <c r="Y2" s="62"/>
      <c r="AC2" s="63"/>
    </row>
    <row r="3" spans="2:43" x14ac:dyDescent="0.35">
      <c r="B3" s="375" t="str">
        <f>'HR-DM (U3,U4,U5AUF)'!B3</f>
        <v>Stand: 03.06.2026 (BITTE AKTUELLE VERSION NUTZEN - ZURZEIT VERSION V06)</v>
      </c>
      <c r="L3" s="61"/>
      <c r="P3" s="61"/>
      <c r="R3" s="61"/>
      <c r="S3" s="61"/>
      <c r="T3" s="61"/>
      <c r="U3" s="61"/>
      <c r="V3" s="61"/>
      <c r="W3" s="61"/>
      <c r="X3" s="62"/>
      <c r="Y3" s="62"/>
      <c r="AC3" s="63"/>
    </row>
    <row r="4" spans="2:43" ht="39" customHeight="1" thickBot="1" x14ac:dyDescent="0.5">
      <c r="B4" s="326" t="s">
        <v>175</v>
      </c>
      <c r="L4" s="62"/>
      <c r="P4" s="61"/>
      <c r="Q4" s="61"/>
      <c r="R4" s="61"/>
      <c r="S4" s="61"/>
      <c r="T4" s="61"/>
      <c r="U4" s="61"/>
      <c r="V4" s="61"/>
      <c r="W4" s="61"/>
      <c r="X4" s="62"/>
      <c r="Y4" s="62"/>
    </row>
    <row r="5" spans="2:43" s="72" customFormat="1" ht="45.95" customHeight="1" thickBot="1" x14ac:dyDescent="0.4">
      <c r="B5" s="65" t="s">
        <v>119</v>
      </c>
      <c r="C5" s="66"/>
      <c r="D5" s="66"/>
      <c r="E5" s="67"/>
      <c r="F5" s="67"/>
      <c r="G5" s="68" t="s">
        <v>116</v>
      </c>
      <c r="H5" s="68"/>
      <c r="I5" s="779" t="s">
        <v>113</v>
      </c>
      <c r="J5" s="780"/>
      <c r="K5" s="781"/>
      <c r="L5" s="68" t="s">
        <v>121</v>
      </c>
      <c r="M5" s="68" t="s">
        <v>86</v>
      </c>
      <c r="N5" s="68" t="s">
        <v>87</v>
      </c>
      <c r="O5" s="68" t="s">
        <v>160</v>
      </c>
      <c r="P5" s="68" t="s">
        <v>109</v>
      </c>
      <c r="Q5" s="68" t="s">
        <v>115</v>
      </c>
      <c r="R5" s="69"/>
      <c r="S5" s="69"/>
      <c r="T5" s="69"/>
      <c r="U5" s="70"/>
      <c r="V5" s="68" t="s">
        <v>174</v>
      </c>
      <c r="W5" s="71" t="s">
        <v>164</v>
      </c>
      <c r="X5" s="72" t="b">
        <v>1</v>
      </c>
      <c r="AA5" s="73"/>
      <c r="AB5" s="74"/>
      <c r="AC5" s="74"/>
      <c r="AD5" s="58"/>
      <c r="AE5" s="660" t="s">
        <v>125</v>
      </c>
      <c r="AF5" s="661"/>
      <c r="AG5" s="662"/>
    </row>
    <row r="6" spans="2:43" s="158" customFormat="1" ht="45.95" customHeight="1" thickBot="1" x14ac:dyDescent="0.3">
      <c r="B6" s="208" t="e">
        <f>PKHR_für_Tarifpersonal!C7:D7</f>
        <v>#VALUE!</v>
      </c>
      <c r="C6" s="461"/>
      <c r="D6" s="461"/>
      <c r="E6" s="76"/>
      <c r="F6" s="76"/>
      <c r="G6" s="77"/>
      <c r="H6" s="461"/>
      <c r="I6" s="782">
        <f>PKHR_für_Tarifpersonal!$C$8</f>
        <v>0</v>
      </c>
      <c r="J6" s="783"/>
      <c r="K6" s="784"/>
      <c r="L6" s="318"/>
      <c r="M6" s="207">
        <f>PKHR_für_Tarifpersonal!$C$11</f>
        <v>0</v>
      </c>
      <c r="N6" s="207">
        <f>PKHR_für_Tarifpersonal!$D$11</f>
        <v>0</v>
      </c>
      <c r="O6" s="79">
        <f>O8*J30/100*O10/J30*100</f>
        <v>0</v>
      </c>
      <c r="P6" s="80" t="str">
        <f>PKHR_für_Tarifpersonal!$C$12</f>
        <v>Bitte auswählen</v>
      </c>
      <c r="Q6" s="80" t="str">
        <f>PKHR_für_Tarifpersonal!$C$13</f>
        <v>Bitte auswählen</v>
      </c>
      <c r="R6" s="80"/>
      <c r="S6" s="78"/>
      <c r="T6" s="78"/>
      <c r="U6" s="78"/>
      <c r="V6" s="207" t="e">
        <f>PKHR_für_Tarifpersonal!$C$14</f>
        <v>#VALUE!</v>
      </c>
      <c r="W6" s="205">
        <f>IF(O10=0,1,O10)</f>
        <v>1</v>
      </c>
      <c r="X6" s="158" t="b">
        <v>1</v>
      </c>
      <c r="AA6" s="73"/>
      <c r="AB6" s="462"/>
      <c r="AC6" s="462"/>
      <c r="AE6" s="801"/>
      <c r="AF6" s="802"/>
      <c r="AG6" s="803"/>
      <c r="AN6" s="463"/>
      <c r="AO6" s="463"/>
      <c r="AP6" s="463"/>
      <c r="AQ6" s="463"/>
    </row>
    <row r="7" spans="2:43" ht="29.45" customHeight="1" outlineLevel="1" thickBot="1" x14ac:dyDescent="0.4">
      <c r="B7" s="83"/>
      <c r="C7" s="82"/>
      <c r="D7" s="82"/>
      <c r="E7" s="82"/>
      <c r="F7" s="82"/>
      <c r="J7" s="84"/>
      <c r="N7" s="83"/>
      <c r="O7" s="379" t="s">
        <v>161</v>
      </c>
      <c r="P7" s="83"/>
      <c r="R7" s="83"/>
      <c r="S7" s="83"/>
      <c r="T7" s="83"/>
      <c r="U7" s="83"/>
      <c r="V7" s="83"/>
      <c r="W7" s="379" t="s">
        <v>165</v>
      </c>
      <c r="X7" s="61"/>
      <c r="Y7" s="61"/>
      <c r="Z7" s="61"/>
      <c r="AA7" s="73"/>
      <c r="AB7" s="81"/>
      <c r="AC7" s="81"/>
      <c r="AN7" s="82"/>
      <c r="AO7" s="82"/>
      <c r="AP7" s="82"/>
      <c r="AQ7" s="82"/>
    </row>
    <row r="8" spans="2:43" ht="25.15" customHeight="1" outlineLevel="1" thickBot="1" x14ac:dyDescent="0.4">
      <c r="B8" s="83"/>
      <c r="C8" s="82"/>
      <c r="D8" s="82"/>
      <c r="E8" s="82"/>
      <c r="F8" s="82"/>
      <c r="J8" s="84"/>
      <c r="N8" s="83"/>
      <c r="O8" s="380">
        <f>PKHR_für_Tarifpersonal!C17</f>
        <v>0</v>
      </c>
      <c r="W8" s="381">
        <f>IF(O8=0,J30,O8*J30/100*100)</f>
        <v>39</v>
      </c>
      <c r="X8" s="61" t="b">
        <v>0</v>
      </c>
      <c r="Y8" s="61"/>
      <c r="Z8" s="61"/>
      <c r="AA8" s="73"/>
      <c r="AB8" s="81"/>
      <c r="AC8" s="81"/>
      <c r="AN8" s="82"/>
      <c r="AO8" s="82"/>
      <c r="AP8" s="82"/>
      <c r="AQ8" s="82"/>
    </row>
    <row r="9" spans="2:43" ht="28.9" customHeight="1" outlineLevel="1" thickBot="1" x14ac:dyDescent="0.4">
      <c r="B9" s="83"/>
      <c r="C9" s="82"/>
      <c r="D9" s="82"/>
      <c r="E9" s="82"/>
      <c r="F9" s="82"/>
      <c r="J9" s="84"/>
      <c r="N9" s="83"/>
      <c r="O9" s="379" t="s">
        <v>162</v>
      </c>
      <c r="W9" s="379" t="s">
        <v>166</v>
      </c>
      <c r="X9" s="61" t="b">
        <v>1</v>
      </c>
      <c r="Y9" s="61"/>
      <c r="Z9" s="61"/>
      <c r="AA9" s="73"/>
      <c r="AB9" s="81"/>
      <c r="AC9" s="81"/>
      <c r="AN9" s="82"/>
      <c r="AO9" s="82"/>
      <c r="AP9" s="82"/>
      <c r="AQ9" s="82"/>
    </row>
    <row r="10" spans="2:43" ht="32.450000000000003" customHeight="1" outlineLevel="1" thickBot="1" x14ac:dyDescent="0.4">
      <c r="B10" s="83"/>
      <c r="C10" s="82"/>
      <c r="D10" s="82"/>
      <c r="E10" s="82"/>
      <c r="F10" s="82"/>
      <c r="J10" s="84"/>
      <c r="N10" s="83"/>
      <c r="O10" s="380">
        <f>PKHR_für_Tarifpersonal!C18</f>
        <v>0</v>
      </c>
      <c r="W10" s="381">
        <f>IF(O10=0,O6*W8,W8*O10)</f>
        <v>0</v>
      </c>
      <c r="Z10" s="73"/>
      <c r="AA10" s="61"/>
      <c r="AB10" s="61"/>
      <c r="AN10" s="82"/>
      <c r="AO10" s="82"/>
      <c r="AP10" s="82"/>
      <c r="AQ10" s="82"/>
    </row>
    <row r="11" spans="2:43" ht="19.899999999999999" customHeight="1" x14ac:dyDescent="0.35">
      <c r="J11" s="84"/>
      <c r="N11" s="83"/>
      <c r="W11" s="61"/>
      <c r="X11" s="61"/>
      <c r="Y11" s="61"/>
      <c r="Z11" s="61"/>
      <c r="AA11" s="73"/>
      <c r="AB11" s="81"/>
      <c r="AC11" s="81"/>
      <c r="AN11" s="82"/>
      <c r="AO11" s="82"/>
      <c r="AP11" s="82"/>
      <c r="AQ11" s="82"/>
    </row>
    <row r="12" spans="2:43" hidden="1" outlineLevel="1" x14ac:dyDescent="0.35">
      <c r="B12" s="83"/>
      <c r="C12" s="82"/>
      <c r="D12" s="82"/>
      <c r="E12" s="82"/>
      <c r="F12" s="82"/>
      <c r="J12" s="84"/>
      <c r="N12" s="60"/>
      <c r="R12" s="85">
        <v>1</v>
      </c>
      <c r="S12" s="85" t="e">
        <f>IF($Q$6+R12&gt;6,"",$Q$6+R12)</f>
        <v>#VALUE!</v>
      </c>
      <c r="T12" s="86" t="str">
        <f>IFERROR(IF(IF($Q$6+R12&gt;6,0,DATE(YEAR(V6)+$Q$6+R12,MONTH(V6),DAY(V6)))&gt;$N$6,"01.01.1900",IF($Q$6+R12&gt;6,0,DATE(YEAR(V6)+$Q$6+R12,MONTH(V6),DAY(V6)))),"01.01.1900")</f>
        <v>01.01.1900</v>
      </c>
      <c r="W12" s="61"/>
      <c r="X12" s="61"/>
      <c r="Y12" s="61"/>
      <c r="Z12" s="61"/>
      <c r="AA12" s="87"/>
      <c r="AB12" s="82"/>
      <c r="AC12" s="82"/>
      <c r="AN12" s="82"/>
      <c r="AO12" s="82"/>
      <c r="AP12" s="82"/>
      <c r="AQ12" s="82"/>
    </row>
    <row r="13" spans="2:43" hidden="1" outlineLevel="1" x14ac:dyDescent="0.35">
      <c r="B13" s="83"/>
      <c r="C13" s="82"/>
      <c r="D13" s="82"/>
      <c r="E13" s="82"/>
      <c r="F13" s="82"/>
      <c r="J13" s="84"/>
      <c r="R13" s="85">
        <v>2</v>
      </c>
      <c r="S13" s="85" t="e">
        <f>IF($Q$6+R13&gt;6,"",$Q$6+R13)</f>
        <v>#VALUE!</v>
      </c>
      <c r="T13" s="86" t="e">
        <f>IF(IF($Q$6+R13&gt;6,0,DATE(YEAR(T12)+$Q$6+R13,MONTH(T12),DAY(T12)))&gt;N$6,"01.01.1900",IF($Q$6+R13&gt;6,0,DATE(YEAR(T12)+$Q$6+R13,MONTH(T12),DAY(T12))))</f>
        <v>#VALUE!</v>
      </c>
      <c r="W13" s="61"/>
      <c r="X13" s="61"/>
      <c r="Y13" s="61"/>
      <c r="Z13" s="61"/>
      <c r="AA13" s="87"/>
      <c r="AB13" s="82"/>
      <c r="AC13" s="82"/>
      <c r="AN13" s="82"/>
      <c r="AO13" s="82"/>
      <c r="AP13" s="82"/>
      <c r="AQ13" s="82"/>
    </row>
    <row r="14" spans="2:43" hidden="1" outlineLevel="1" x14ac:dyDescent="0.35">
      <c r="B14" s="83"/>
      <c r="C14" s="82"/>
      <c r="D14" s="82"/>
      <c r="E14" s="82"/>
      <c r="F14" s="82"/>
      <c r="J14" s="84"/>
      <c r="N14" s="60"/>
      <c r="R14" s="85">
        <v>3</v>
      </c>
      <c r="S14" s="85" t="e">
        <f>IF($Q$6+R14&gt;6,"",$Q$6+R14)</f>
        <v>#VALUE!</v>
      </c>
      <c r="T14" s="86" t="e">
        <f>IF(IF($Q$6+R14&gt;6,0,DATE(YEAR(T13)+$Q$6+R14,MONTH(T13),DAY(T13)))&gt;N$6,"01.01.1900",IF($Q$6+R14&gt;6,0,DATE(YEAR(T13)+$Q$6+R14,MONTH(T13),DAY(T13))))</f>
        <v>#VALUE!</v>
      </c>
      <c r="V14" s="60"/>
      <c r="W14" s="325"/>
      <c r="X14" s="61"/>
      <c r="Y14" s="61"/>
      <c r="Z14" s="61"/>
      <c r="AA14" s="87"/>
      <c r="AB14" s="82"/>
      <c r="AC14" s="82"/>
      <c r="AN14" s="82"/>
      <c r="AO14" s="82"/>
      <c r="AP14" s="82"/>
      <c r="AQ14" s="82"/>
    </row>
    <row r="15" spans="2:43" hidden="1" outlineLevel="1" x14ac:dyDescent="0.35">
      <c r="B15" s="83"/>
      <c r="C15" s="82"/>
      <c r="D15" s="82"/>
      <c r="E15" s="82"/>
      <c r="F15" s="82"/>
      <c r="J15" s="84"/>
      <c r="R15" s="85">
        <v>4</v>
      </c>
      <c r="S15" s="85" t="e">
        <f>IF($Q$6+R15&gt;6,"",$Q$6+R15)</f>
        <v>#VALUE!</v>
      </c>
      <c r="T15" s="86" t="e">
        <f>IF(IF($Q$6+R15&gt;6,0,DATE(YEAR(T14)+$Q$6+R15,MONTH(T14),DAY(T14)))&gt;N$6,"01.01.1900",IF($Q$6+R15&gt;6,0,DATE(YEAR(T14)+$Q$6+R15,MONTH(T14),DAY(T14))))</f>
        <v>#VALUE!</v>
      </c>
      <c r="W15" s="325"/>
      <c r="X15" s="61"/>
      <c r="Y15" s="61"/>
      <c r="Z15" s="61"/>
      <c r="AA15" s="87"/>
      <c r="AB15" s="82"/>
      <c r="AC15" s="82"/>
      <c r="AN15" s="82"/>
      <c r="AO15" s="82"/>
      <c r="AP15" s="82"/>
      <c r="AQ15" s="82"/>
    </row>
    <row r="16" spans="2:43" hidden="1" outlineLevel="1" x14ac:dyDescent="0.35">
      <c r="B16" s="64"/>
      <c r="J16" s="84"/>
      <c r="K16" s="88"/>
      <c r="L16" s="89"/>
      <c r="M16" s="90"/>
      <c r="N16" s="90"/>
      <c r="O16" s="90"/>
      <c r="P16" s="90"/>
      <c r="Q16" s="90"/>
      <c r="R16" s="91">
        <v>5</v>
      </c>
      <c r="S16" s="85" t="e">
        <f>IF($Q$6+R16&gt;6,"",$Q$6+R16)</f>
        <v>#VALUE!</v>
      </c>
      <c r="T16" s="86" t="e">
        <f>IF(IF($Q$6+R16&gt;6,0,DATE(YEAR(T15)+$Q$6+R16,MONTH(T15),DAY(T15)))&gt;N$6,"01.01.1900",IF($Q$6+R16&gt;6,0,DATE(YEAR(T15)+$Q$6+R16,MONTH(T15),DAY(T15))))</f>
        <v>#VALUE!</v>
      </c>
      <c r="U16" s="61"/>
      <c r="V16" s="61"/>
      <c r="W16" s="61"/>
      <c r="X16" s="62"/>
      <c r="Y16" s="62"/>
      <c r="Z16" s="87"/>
      <c r="AA16" s="82"/>
      <c r="AB16" s="82"/>
      <c r="AM16" s="82"/>
      <c r="AN16" s="82"/>
      <c r="AO16" s="82"/>
      <c r="AP16" s="82"/>
    </row>
    <row r="17" spans="2:46" hidden="1" outlineLevel="1" x14ac:dyDescent="0.35">
      <c r="B17" s="64"/>
      <c r="J17" s="84"/>
      <c r="K17" s="88"/>
      <c r="L17" s="89"/>
      <c r="M17" s="90"/>
      <c r="N17" s="90"/>
      <c r="O17" s="90"/>
      <c r="P17" s="90"/>
      <c r="Q17" s="90"/>
      <c r="R17" s="61"/>
      <c r="S17" s="61"/>
      <c r="T17" s="61"/>
      <c r="U17" s="61"/>
      <c r="V17" s="61"/>
      <c r="W17" s="61"/>
      <c r="X17" s="62"/>
      <c r="Y17" s="62"/>
      <c r="Z17" s="87"/>
      <c r="AA17" s="82"/>
      <c r="AB17" s="82"/>
      <c r="AM17" s="82"/>
      <c r="AN17" s="82"/>
      <c r="AO17" s="82"/>
      <c r="AP17" s="82"/>
    </row>
    <row r="18" spans="2:46" ht="22.5" customHeight="1" collapsed="1" x14ac:dyDescent="0.35">
      <c r="B18" s="209"/>
      <c r="J18" s="84"/>
      <c r="K18" s="88"/>
      <c r="L18" s="89"/>
      <c r="M18" s="90"/>
      <c r="N18" s="90"/>
      <c r="O18" s="90"/>
      <c r="P18" s="90"/>
      <c r="Q18" s="90"/>
      <c r="R18" s="61"/>
      <c r="S18" s="61"/>
      <c r="T18" s="61"/>
      <c r="U18" s="61"/>
      <c r="V18" s="61"/>
      <c r="W18" s="61"/>
      <c r="X18" s="62"/>
      <c r="Y18" s="62"/>
      <c r="Z18" s="87"/>
      <c r="AA18" s="82"/>
      <c r="AB18" s="82"/>
      <c r="AM18" s="82"/>
      <c r="AN18" s="82"/>
      <c r="AO18" s="82"/>
      <c r="AP18" s="82"/>
    </row>
    <row r="19" spans="2:46" ht="16.5" thickBot="1" x14ac:dyDescent="0.4">
      <c r="J19" s="84"/>
      <c r="K19" s="62"/>
      <c r="L19" s="62"/>
      <c r="M19" s="62"/>
      <c r="N19" s="84"/>
      <c r="O19" s="62"/>
      <c r="P19" s="62"/>
      <c r="Q19" s="62"/>
      <c r="R19" s="62"/>
      <c r="S19" s="62"/>
      <c r="T19" s="62"/>
      <c r="U19" s="62"/>
      <c r="V19" s="62"/>
      <c r="W19" s="62"/>
      <c r="X19" s="62"/>
      <c r="Y19" s="62"/>
      <c r="AS19" s="92"/>
      <c r="AT19" s="82"/>
    </row>
    <row r="20" spans="2:46" ht="25.5" customHeight="1" thickBot="1" x14ac:dyDescent="0.4">
      <c r="J20" s="787">
        <f>YEAR(M6)</f>
        <v>1900</v>
      </c>
      <c r="K20" s="788"/>
      <c r="L20" s="788"/>
      <c r="M20" s="788"/>
      <c r="N20" s="788"/>
      <c r="O20" s="789"/>
      <c r="P20" s="790">
        <f>J20+1</f>
        <v>1901</v>
      </c>
      <c r="Q20" s="791"/>
      <c r="R20" s="791"/>
      <c r="S20" s="791"/>
      <c r="T20" s="791"/>
      <c r="U20" s="791"/>
      <c r="V20" s="791"/>
      <c r="W20" s="791"/>
      <c r="X20" s="791"/>
      <c r="Y20" s="791"/>
      <c r="Z20" s="791"/>
      <c r="AA20" s="792"/>
      <c r="AB20" s="772">
        <f>P20+1</f>
        <v>1902</v>
      </c>
      <c r="AC20" s="773"/>
      <c r="AD20" s="773"/>
      <c r="AE20" s="773"/>
      <c r="AF20" s="773"/>
      <c r="AG20" s="774"/>
      <c r="AR20" s="82"/>
      <c r="AS20" s="82"/>
      <c r="AT20" s="82"/>
    </row>
    <row r="21" spans="2:46" ht="16.5" thickBot="1" x14ac:dyDescent="0.4">
      <c r="B21" s="93"/>
      <c r="C21" s="94"/>
      <c r="D21" s="94"/>
      <c r="E21" s="94"/>
      <c r="F21" s="94"/>
      <c r="G21" s="94"/>
      <c r="H21" s="96"/>
      <c r="I21" s="95"/>
      <c r="J21" s="97" t="s">
        <v>0</v>
      </c>
      <c r="K21" s="98" t="s">
        <v>1</v>
      </c>
      <c r="L21" s="97" t="s">
        <v>0</v>
      </c>
      <c r="M21" s="98" t="s">
        <v>1</v>
      </c>
      <c r="N21" s="97" t="s">
        <v>0</v>
      </c>
      <c r="O21" s="98" t="s">
        <v>1</v>
      </c>
      <c r="P21" s="99" t="s">
        <v>0</v>
      </c>
      <c r="Q21" s="100" t="s">
        <v>1</v>
      </c>
      <c r="R21" s="101"/>
      <c r="S21" s="101"/>
      <c r="T21" s="101"/>
      <c r="U21" s="101"/>
      <c r="V21" s="443" t="s">
        <v>0</v>
      </c>
      <c r="W21" s="444" t="s">
        <v>1</v>
      </c>
      <c r="X21" s="445"/>
      <c r="Y21" s="445"/>
      <c r="Z21" s="99" t="s">
        <v>0</v>
      </c>
      <c r="AA21" s="100" t="s">
        <v>1</v>
      </c>
      <c r="AB21" s="102" t="s">
        <v>0</v>
      </c>
      <c r="AC21" s="103" t="s">
        <v>1</v>
      </c>
      <c r="AD21" s="102" t="s">
        <v>0</v>
      </c>
      <c r="AE21" s="103" t="s">
        <v>1</v>
      </c>
      <c r="AF21" s="102" t="s">
        <v>0</v>
      </c>
      <c r="AG21" s="103" t="s">
        <v>1</v>
      </c>
    </row>
    <row r="22" spans="2:46" ht="16.5" thickBot="1" x14ac:dyDescent="0.4">
      <c r="B22" s="123" t="s">
        <v>110</v>
      </c>
      <c r="C22" s="124"/>
      <c r="D22" s="124"/>
      <c r="E22" s="124"/>
      <c r="F22" s="124"/>
      <c r="G22" s="124"/>
      <c r="H22" s="126"/>
      <c r="I22" s="125"/>
      <c r="J22" s="332">
        <f>IF(OR(ISBLANK($M$6),ISBLANK($N$6)),"",IF(J20=YEAR($M$6),$M$6,""))</f>
        <v>0</v>
      </c>
      <c r="K22" s="328" t="e">
        <f>IF(IF(OR(ISBLANK($M$6),ISBLANK($N$6)),"",IF(J20=YEAR($M$6),$M$6,""))="","",IF(OR(ISBLANK($M$6),ISBLANK($N$6)),"",IF(AND(J20=YEAR($N$6),$V$6&gt;$N$6),$N$6,IF(J20=YEAR($V$6),$V$6-1,IF(J20=YEAR($T$12),$T$12-1,IF(J20=YEAR($T$13),$T$13-1,IF(J20=YEAR($T$14),$T$14-1,IF(J20=YEAR($T$15),$T$15-1,IF(J20=YEAR($T$16),$T$16-1,IF(YEAR($N$6)=J20,$N$6,DATE(J20,12,31)))))))))))</f>
        <v>#VALUE!</v>
      </c>
      <c r="L22" s="327" t="e">
        <f>IF(AND(N6&lt;V6,YEAR(N6)=YEAR(V6))=TRUE,"",IF(OR(ISBLANK(M6),ISBLANK(N6)),"",IF(AND(J20=YEAR($J$20),$V$6&gt;$J$20),"",IF(J20=YEAR($V$6),$V$6,IF(J20=YEAR($T$12),$T$12,IF(J20=YEAR($T$13),$T$13,IF(J20=YEAR($T$14),$T$14,IF(J20=YEAR($T$15),$T$15,IF(J20=YEAR($T$16),$T$16,"")))))))))</f>
        <v>#VALUE!</v>
      </c>
      <c r="M22" s="329" t="e">
        <f>IF(OR(ISBLANK($M$6),ISBLANK($N$6)),"",IF(IF(AND(J20=YEAR($N$6),$V$6&gt;$N$6),"",IF(J20=YEAR($V$6),$V$6,IF(J20=YEAR($T$12),$T$12,IF(J20=YEAR($T$13),$T$13,IF(J20=YEAR($T$14),$T$14,IF(J20=YEAR($T$15),$T$15,IF(J20=YEAR($T$16),$T$16,"")))))))="","",IF(YEAR($N$6)=J20,$N$6,DATE(J20,12,31))))</f>
        <v>#VALUE!</v>
      </c>
      <c r="N22" s="110"/>
      <c r="O22" s="110"/>
      <c r="P22" s="327" t="str">
        <f>IF(OR(ISBLANK($M$6),ISBLANK($N$6)),"",IF(YEAR(N6)&lt;P20,"",IF(P20&lt;YEAR($M$6),$M$6,IF(YEAR($N$6)&gt;=P20,DATE(P20,1,1),""))))</f>
        <v/>
      </c>
      <c r="Q22" s="328" t="str">
        <f>IF(IF(P20&lt;YEAR($M$6),$M$6,IF(YEAR($N$6)&gt;=P20,DATE(P20,1,1),""))="","",IF(AND(MONTH(1)=MONTH($V$6),P20=YEAR($N$6)),$N$6,IF(AND($V$6&lt;$N$6,$N$6&gt;$T$12,),$N$6,IF(MONTH(1)=MONTH($V$6),DATE(P20,12,31),IF(AND(P20=YEAR($N$6),$V$6&gt;$N$6),$N$6,IF(P20=YEAR($V$6),$V$6-1,IF(P20=YEAR($T$12),$T$12-1,IF(P20=YEAR($T$13),$T$13-1,IF(P20=YEAR($T$14),$T$14-1,IF(P20=YEAR($T$15),$T$15-1,IF(P20=YEAR($T$16),$T$16-1,IF(YEAR($N$6)=P20,$N$6,DATE(P20,12,31)))))))))))))</f>
        <v/>
      </c>
      <c r="R22" s="108"/>
      <c r="S22" s="109"/>
      <c r="T22" s="108"/>
      <c r="U22" s="110"/>
      <c r="V22" s="327" t="str">
        <f>IF(IF(OR(ISBLANK($M$6),ISBLANK($N$6)),"",IF(P20&lt;YEAR($M$6),$M$6,IF(YEAR($N$6)&gt;=P20,DATE(P20,1,1),"")))="","",IF(MONTH(1)=MONTH($V$6),"",IF(AND(P20=YEAR($N$6),$V$6&gt;$N$6),"",IF(P20=YEAR($V$6),$V$6,IF(P20=YEAR($T$12),$T$12,IF(P20=YEAR($T$13),$T$13,IF(P20=YEAR($T$14),$T$14,IF(P20=YEAR($T$15),$T$15,IF(P20=YEAR($T$16),$T$16,"")))))))))</f>
        <v/>
      </c>
      <c r="W22" s="794" t="str">
        <f>IF(IF(OR(ISBLANK($M$6),ISBLANK($N$6)),"",IF(P20&lt;YEAR($M$6),$M$6,IF(YEAR($N$6)&gt;=P20,DATE(P20,1,1),"")))="","",IF(MONTH(1)=MONTH($V$6),"",IF(IF(AND(P20=YEAR($N$6),$V$6&gt;$N$6),"",IF(P20=YEAR($V$6),$V$6,IF(P20=YEAR($T$12),$T$12,IF(P20=YEAR($T$13),$T$13,IF(P20=YEAR($T$14),$T$14,IF(P20=YEAR($T$15),$T$15,IF(P20=YEAR($T$16),$T$16,"")))))))="","",IF(YEAR($N$6)=P20,$N$6,DATE(P20,12,31)))))</f>
        <v/>
      </c>
      <c r="X22" s="794"/>
      <c r="Y22" s="795"/>
      <c r="Z22" s="108"/>
      <c r="AA22" s="109"/>
      <c r="AB22" s="327" t="str">
        <f>IF(AB20&lt;YEAR($M$6),$M$6,IF(YEAR($N$6)&gt;=AB20,DATE(AB20,1,1),""))</f>
        <v/>
      </c>
      <c r="AC22" s="328" t="str">
        <f>IF(IF(AB20&lt;YEAR($M$6),$M$6,IF(YEAR($N$6)&gt;=AB20,DATE(AB20,1,1),""))="","",IF(AND(MONTH(1)=MONTH($V$6),AB20=YEAR($N$6)),$N$6,IF(AND($V$6&lt;$N$6,$N$6&gt;$T$12,),$N$6,IF(MONTH(1)=MONTH($V$6),DATE(AB20,12,31),IF(AND(AB20=YEAR($N$6),$V$6&gt;$N$6),$N$6,IF(AB20=YEAR($V$6),$V$6-1,IF(AB20=YEAR($T$12),$T$12-1,IF(AB20=YEAR($T$13),$T$13-1,IF(AB20=YEAR($T$14),$T$14-1,IF(AB20=YEAR($T$15),$T$15-1,IF(AB20=YEAR($T$16),$T$16-1,IF(YEAR($N$6)=AB20,$N$6,DATE(AB20,12,31)))))))))))))</f>
        <v/>
      </c>
      <c r="AD22" s="327" t="str">
        <f>IF(IF(OR(ISBLANK($M$6),ISBLANK($N$6)),"",IF(AB20&lt;YEAR($M$6),$M$6,IF(YEAR($N$6)&gt;=AB20,DATE(AB20,1,1),"")))="","",IF(MONTH(1)=MONTH($V$6),"",IF(AND(AB20=YEAR($N$6),$V$6&gt;$N$6),"",IF(AB20=YEAR($V$6),$V$6,IF(AB20=YEAR($T$12),$T$12,IF(AB20=YEAR($T$13),$T$13,IF(AB20=YEAR($T$14),$T$14,IF(AB20=YEAR($T$15),$T$15,IF(AB20=YEAR($T$16),$T$16,IF($N$6&lt;$T$12,"",""))))))))))</f>
        <v/>
      </c>
      <c r="AE22" s="329" t="str">
        <f>IF(AD22="","",IF(IF(OR(ISBLANK($M$6),ISBLANK($N$6)),"",IF(AB20&lt;YEAR($M$6),$M$6,IF(YEAR($N$6)&gt;=AB20,DATE(AB20,1,1),"")))="","",IF(MONTH(1)=MONTH($V$6),"",IF(IF(AND(AB20=YEAR($N$6),$V$6&gt;$N$6),"",IF(AB20=YEAR($V$6),$V$6,IF(AB20=YEAR($T$12),$T$12,IF(AB20=YEAR($T$13),$T$13,IF(AB20=YEAR($T$14),$T$14,IF(AB20=YEAR($T$15),$T$15,IF(AB20=YEAR($T$16),$T$16,"")))))))="","",IF(YEAR($N$6)=AB20,$N$6,DATE(AB20,12,31))))))</f>
        <v/>
      </c>
      <c r="AF22" s="110"/>
      <c r="AG22" s="109"/>
    </row>
    <row r="23" spans="2:46" ht="16.149999999999999" hidden="1" customHeight="1" outlineLevel="1" thickBot="1" x14ac:dyDescent="0.4">
      <c r="B23" s="442"/>
      <c r="C23" s="105"/>
      <c r="D23" s="105"/>
      <c r="E23" s="105"/>
      <c r="F23" s="105"/>
      <c r="G23" s="105"/>
      <c r="H23" s="82"/>
      <c r="I23" s="105"/>
      <c r="J23" s="441" t="e">
        <f>IF(J22="",0,(EOMONTH(J22,0)-J22+1)/(EOMONTH(J22,0)-EOMONTH(J22,-1))+(K22-EOMONTH(K22,-1))/(EOMONTH(K22,0)-EOMONTH(K22,-1))+MONTH(K22)-MONTH(J22)-1+(YEAR(K22)-YEAR(J22))*12)</f>
        <v>#NUM!</v>
      </c>
      <c r="K23" s="112" t="e">
        <f>IF(AND(DAY(J22)&gt;1,MONTH(J22)&lt;&gt;MONTH(K22)),30-DAY(J22)+1,IF(J22="",0,(IF(MONTH(J22)=MONTH(K22),IF(OR(K22=C57,K22=C58,K22=C59,K22=C60,K22=C61,K22=C62,K22=C63,K22=C64,K22=C65,K22=C66,K22=C67,K22=C68),30-DAY(J22)+1,IF(MONTH(J22)=MONTH(K22),DAY(K22)-DAY(J22)+1,0))))))</f>
        <v>#VALUE!</v>
      </c>
      <c r="L23" s="111" t="e">
        <f>IF(L22="",0,(EOMONTH(L22,0)-L22+1)/(EOMONTH(L22,0)-EOMONTH(L22,-1))+(M22-EOMONTH(M22,-1))/(EOMONTH(M22,0)-EOMONTH(M22,-1))+MONTH(M22)-MONTH(L22)-1+(YEAR(M22)-YEAR(L22))*12)</f>
        <v>#VALUE!</v>
      </c>
      <c r="M23" s="112" t="e">
        <f>IF(L22="",0,IF(AND(DAY(L22)=1,MONTH(L22)&lt;&gt;MONTH(M22)),30,IF(AND(DAY(L22)&gt;1,MONTH(L22)&lt;&gt;MONTH(M22)),30-DAY(L22)+1,IF(MONTH(L22)=MONTH(M22),IF(OR(M22=C57,M22=C58,M22=C59,M22=C60,M22=C61,M22=C62,M22=C63,M22=C64,M22=C65,M22=C66,M22=C67,M22=C68),30-DAY(L22)+1,IF(MONTH(L22)=MONTH(M22),DAY(M22)-DAY(L22)+1,0))))))</f>
        <v>#VALUE!</v>
      </c>
      <c r="N23" s="111">
        <f>IF(N22="",0,(EOMONTH(N22,0)-N22+1)/(EOMONTH(N22,0)-EOMONTH(N22,-1))+(O22-EOMONTH(O22,-1))/(EOMONTH(O22,0)-EOMONTH(O22,-1))+MONTH(O22)-MONTH(N22)-1+(YEAR(O22)-YEAR(N22))*12)</f>
        <v>0</v>
      </c>
      <c r="O23" s="112">
        <f>IF(N22="",0,IF(AND(DAY(N22)=1,MONTH(N22)&lt;&gt;MONTH(O22)),30,IF(AND(DAY(N22)&gt;1,MONTH(N22)&lt;&gt;MONTH(O22)),30-DAY(N22)+1,IF(MONTH(N22)=MONTH(O22),IF(OR(O22=C57,O22=C58,O22=C59,O22=C60,O22=C61,O22=C62,O22=C63,O22=C64,O22=C65,O22=C66,O22=C67,O22=C68),30-DAY(N22)+1,IF(MONTH(N22)=MONTH(O22),DAY(O22)-DAY(N22)+1,0))))))</f>
        <v>0</v>
      </c>
      <c r="P23" s="111">
        <f>IF(P22="",0,(EOMONTH(P22,0)-P22+1)/(EOMONTH(P22,0)-EOMONTH(P22,-1))+(Q22-EOMONTH(Q22,-1))/(EOMONTH(Q22,0)-EOMONTH(Q22,-1))+MONTH(Q22)-MONTH(P22)-1+(YEAR(Q22)-YEAR(P22))*12)</f>
        <v>0</v>
      </c>
      <c r="Q23" s="113" t="e">
        <f>IF(AND(DAY(P22)&gt;1,MONTH(P22)&lt;&gt;MONTH(Q22)),30-DAY(P22)+1,IF(P22="",0,(IF(MONTH(P22)=MONTH(Q22),IF(OR(Q22=R57,Q22=R58,Q22=R59,Q22=R60,Q22=R61,Q22=R62,Q22=R63,Q22=R64,Q22=R65,Q22=R66,Q22=R67,Q22=R68),30-DAY(P22)+1,IF(MONTH(P22)=MONTH(Q22),DAY(Q22)-DAY(P22)+1,0))))))</f>
        <v>#VALUE!</v>
      </c>
      <c r="R23" s="114"/>
      <c r="S23" s="114"/>
      <c r="T23" s="114"/>
      <c r="U23" s="114"/>
      <c r="V23" s="111">
        <f>IF(V22="",0,(EOMONTH(V22,0)-V22+1)/(EOMONTH(V22,0)-EOMONTH(V22,-1))+(W22-EOMONTH(W22,-1))/(EOMONTH(W22,0)-EOMONTH(W22,-1))+MONTH(W22)-MONTH(V22)-1+(YEAR(W22)-YEAR(V22))*12)</f>
        <v>0</v>
      </c>
      <c r="W23" s="112">
        <f>IF(V22="",0,IF(AND(DAY(V22)=1,MONTH(V22)&lt;&gt;MONTH(W22)),30,IF(AND(DAY(V22)&gt;1,MONTH(V22)&lt;&gt;MONTH(W22)),30-DAY(V22)+1,IF(MONTH(V22)=MONTH(W22),IF(OR(W22=R57,W22=R58,W22=R59,W22=R60,W22=R61,W22=R62,W22=R63,W22=R64,W22=R65,W22=R66,W22=R67,W22=R68),30-DAY(V22)+1,IF(MONTH(V22)=MONTH(W22),DAY(W22)-DAY(V22)+1,0))))))</f>
        <v>0</v>
      </c>
      <c r="X23" s="115"/>
      <c r="Y23" s="115"/>
      <c r="Z23" s="111">
        <f>IF(Z22="",0,(EOMONTH(Z22,0)-Z22+1)/(EOMONTH(Z22,0)-EOMONTH(Z22,-1))+(AA22-EOMONTH(AA22,-1))/(EOMONTH(AA22,0)-EOMONTH(AA22,-1))+MONTH(AA22)-MONTH(Z22)-1+(YEAR(AA22)-YEAR(Z22))*12)</f>
        <v>0</v>
      </c>
      <c r="AA23" s="112">
        <f>IF(Z22="",0,IF(AND(DAY(Z22)=1,MONTH(Z22)&lt;&gt;MONTH(AA22)),30,IF(AND(DAY(Z22)&gt;1,MONTH(Z22)&lt;&gt;MONTH(AA22)),30-DAY(Z22)+1,IF(MONTH(Z22)=MONTH(AA22),IF(OR(AA22=R57,AA22=R58,AA22=R59,AA22=R60,AA22=R61,AA22=R62,AA22=R63,AA22=R64,AA22=R65,AA22=R66,AA22=R67,AA22=R68),30-DAY(Z22)+1,IF(MONTH(Z22)=MONTH(AA22),DAY(AA22)-DAY(Z22)+1,0))))))</f>
        <v>0</v>
      </c>
      <c r="AB23" s="111">
        <f>IF(AB22="",0,(EOMONTH(AB22,0)-AB22+1)/(EOMONTH(AB22,0)-EOMONTH(AB22,-1))+(AC22-EOMONTH(AC22,-1))/(EOMONTH(AC22,0)-EOMONTH(AC22,-1))+MONTH(AC22)-MONTH(AB22)-1+(YEAR(AC22)-YEAR(AB22))*12)</f>
        <v>0</v>
      </c>
      <c r="AC23" s="112" t="e">
        <f>IF(AND(DAY(AB22)&gt;1,MONTH(AB22)&lt;&gt;MONTH(AC22)),30-DAY(AB22)+1,IF(AB22="",0,(IF(MONTH(AB22)=MONTH(AC22),IF(OR(AC22=AH57,AC22=AH58,AC22=AH59,AC22=AH60,AC22=AH61,AC22=AH62,AC22=AH63,AC22=AH64,AC22=AH65,AC22=AH66,AC22=AH67,AC22=AH68),30-DAY(AB22)+1,IF(MONTH(AB22)=MONTH(AC22),DAY(AC22)-DAY(AB22)+1,0))))))</f>
        <v>#VALUE!</v>
      </c>
      <c r="AD23" s="111">
        <f>IF(AD22="",0,(EOMONTH(AD22,0)-AD22+1)/(EOMONTH(AD22,0)-EOMONTH(AD22,-1))+(AE22-EOMONTH(AE22,-1))/(EOMONTH(AE22,0)-EOMONTH(AE22,-1))+MONTH(AE22)-MONTH(AD22)-1+(YEAR(AE22)-YEAR(AD22))*12)</f>
        <v>0</v>
      </c>
      <c r="AE23" s="112">
        <f>IF(AD22="",0,IF(AND(DAY(AD22)=1,MONTH(AD22)&lt;&gt;MONTH(AE22)),30,IF(AND(DAY(AD22)&gt;1,MONTH(AD22)&lt;&gt;MONTH(AE22)),30-DAY(AD22)+1,IF(MONTH(AD22)=MONTH(AE22),IF(OR(AE22=AH57,AE22=AH58,AE22=AH59,AE22=AH60,AE22=AH61,AE22=AH62,AE22=AH63,AE22=AH64,AE22=AH65,AE22=AH66,AE22=AH67,AE22=AH68),30-DAY(AD22)+1,IF(MONTH(AD22)=MONTH(AE22),DAY(AE22)-DAY(AD22)+1,0))))))</f>
        <v>0</v>
      </c>
      <c r="AF23" s="111">
        <f>IF(AF22="",0,(EOMONTH(AF22,0)-AF22+1)/(EOMONTH(AF22,0)-EOMONTH(AF22,-1))+(AG22-EOMONTH(AG22,-1))/(EOMONTH(AG22,0)-EOMONTH(AG22,-1))+MONTH(AG22)-MONTH(AF22)-1+(YEAR(AG22)-YEAR(AF22))*12)</f>
        <v>0</v>
      </c>
      <c r="AG23" s="112">
        <f>IF(AF22="",0,IF(AND(DAY(AF22)=1,MONTH(AF22)&lt;&gt;MONTH(AG22)),30,IF(AND(DAY(AF22)&gt;1,MONTH(AF22)&lt;&gt;MONTH(AG22)),30-DAY(AF22)+1,IF(MONTH(AF22)=MONTH(AG22),IF(OR(AG22=AH57,AG22=AH58,AG22=AH59,AG22=AH60,AG22=AH61,AG22=AH62,AG22=AH63,AG22=AH64,AG22=AH65,AG22=AH66,AG22=AH67,AG22=AH68),30-DAY(AF22)+1,IF(MONTH(AF22)=MONTH(AG22),DAY(AG22)-DAY(AF22)+1,0))))))</f>
        <v>0</v>
      </c>
    </row>
    <row r="24" spans="2:46" ht="16.5" collapsed="1" thickBot="1" x14ac:dyDescent="0.4">
      <c r="B24" s="116" t="s">
        <v>2</v>
      </c>
      <c r="C24" s="117"/>
      <c r="D24" s="117"/>
      <c r="E24" s="117"/>
      <c r="F24" s="117"/>
      <c r="G24" s="117"/>
      <c r="H24" s="117"/>
      <c r="I24" s="118"/>
      <c r="J24" s="669" t="e">
        <f>IF(J22="",0,(J27*J31)*(J32+100%))</f>
        <v>#N/A</v>
      </c>
      <c r="K24" s="670"/>
      <c r="L24" s="671" t="e">
        <f>IF(L22="",0,(L27*L31)*(L32+100%))</f>
        <v>#VALUE!</v>
      </c>
      <c r="M24" s="670"/>
      <c r="N24" s="671">
        <f>IF(N22="",0,(N27*N31)*(N32+100%))</f>
        <v>0</v>
      </c>
      <c r="O24" s="670"/>
      <c r="P24" s="671">
        <f>IF(P22="",0,(P27*P31)*(P32+100%))</f>
        <v>0</v>
      </c>
      <c r="Q24" s="670"/>
      <c r="R24" s="613"/>
      <c r="S24" s="613"/>
      <c r="T24" s="613"/>
      <c r="U24" s="613"/>
      <c r="V24" s="671">
        <f>IF(V22="",0,(V27*V31)*(V32+100%))</f>
        <v>0</v>
      </c>
      <c r="W24" s="669"/>
      <c r="X24" s="669"/>
      <c r="Y24" s="670"/>
      <c r="Z24" s="671">
        <f>IF(Z22="",0,(Z27*Z31)*(Z32+100%))</f>
        <v>0</v>
      </c>
      <c r="AA24" s="670"/>
      <c r="AB24" s="671">
        <f>IF(AB22="",0,(AB27*AB31)*(AB32+100%))</f>
        <v>0</v>
      </c>
      <c r="AC24" s="670"/>
      <c r="AD24" s="671">
        <f>IF(AD22="",0,(AD27*AD31)*(AD32+100%))</f>
        <v>0</v>
      </c>
      <c r="AE24" s="670"/>
      <c r="AF24" s="671">
        <f>IF(AF22="",0,(AF27*AF31)*(AF32+100%))</f>
        <v>0</v>
      </c>
      <c r="AG24" s="670"/>
    </row>
    <row r="25" spans="2:46" x14ac:dyDescent="0.35">
      <c r="B25" s="120" t="s">
        <v>3</v>
      </c>
      <c r="C25" s="94"/>
      <c r="D25" s="94"/>
      <c r="E25" s="94"/>
      <c r="F25" s="94"/>
      <c r="G25" s="94"/>
      <c r="H25" s="121"/>
      <c r="I25" s="95"/>
      <c r="J25" s="672" t="str">
        <f>IF(J22="","",P6)</f>
        <v>Bitte auswählen</v>
      </c>
      <c r="K25" s="673"/>
      <c r="L25" s="674" t="e">
        <f>IF(L22="","",IF(IF(OR(ISBLANK(M6),ISBLANK(N6)),"",IF(AND(J20=YEAR($J$20),$V$6&gt;$J$20),"",IF(J20=YEAR($V$6),$V$6,IF(J20=YEAR($T$12),$T$12,IF(J20=YEAR($T$13),$T$13,IF(J20=YEAR($T$14),$T$14,IF(J20=YEAR($T$15),$T$15,IF(J20=YEAR($T$16),$T$16,""))))))))="","",$P$6))</f>
        <v>#VALUE!</v>
      </c>
      <c r="M25" s="673"/>
      <c r="N25" s="675"/>
      <c r="O25" s="676"/>
      <c r="P25" s="716" t="str">
        <f>IF(IF(OR(ISBLANK($M$6),ISBLANK($N$6)),"",IF(P20&lt;YEAR($M$6),$M$6,IF(YEAR($N$6)&gt;=P20,DATE(P20,1,1),"")))="","",$P$6)</f>
        <v/>
      </c>
      <c r="Q25" s="717"/>
      <c r="R25" s="611"/>
      <c r="S25" s="611"/>
      <c r="T25" s="611"/>
      <c r="U25" s="611"/>
      <c r="V25" s="674" t="e">
        <f>IF(OR(V22=$V$6,V22=$T$12,V22=$T$13,V22=$T$14,V22=$T$15,V22=$T$16),P25,"")</f>
        <v>#VALUE!</v>
      </c>
      <c r="W25" s="672"/>
      <c r="X25" s="672"/>
      <c r="Y25" s="673"/>
      <c r="Z25" s="731"/>
      <c r="AA25" s="732"/>
      <c r="AB25" s="674" t="str">
        <f>IF(IF(OR(ISBLANK($M$6),ISBLANK($N$6)),"",IF(AB20&lt;YEAR($M$6),$M$6,IF(YEAR($N$6)&gt;=AB20,DATE(AB20,1,1),"")))="","",$P$6)</f>
        <v/>
      </c>
      <c r="AC25" s="673"/>
      <c r="AD25" s="716" t="e">
        <f>IF(OR(AD22=$V$6,AD22=$T$12,AD22=$T$13,AD22=$T$14,AD22=$T$15,AD22=$T$16),AB25,"")</f>
        <v>#VALUE!</v>
      </c>
      <c r="AE25" s="717"/>
      <c r="AF25" s="731"/>
      <c r="AG25" s="732"/>
    </row>
    <row r="26" spans="2:46" ht="18" thickBot="1" x14ac:dyDescent="0.4">
      <c r="B26" s="123" t="s">
        <v>171</v>
      </c>
      <c r="C26" s="124"/>
      <c r="D26" s="124"/>
      <c r="E26" s="124"/>
      <c r="F26" s="124"/>
      <c r="G26" s="124"/>
      <c r="H26" s="126"/>
      <c r="I26" s="125"/>
      <c r="J26" s="793" t="str">
        <f>IF(ISBLANK(Q6),"",Q6)</f>
        <v>Bitte auswählen</v>
      </c>
      <c r="K26" s="717"/>
      <c r="L26" s="716" t="e">
        <f>IF(ISBLANK(V6),"",IF(L22=$V$6,$S$12,IF(L22=$T$12,$S$13,IF(L22=$T$13,$S$14,IF(L22=$T$14,$S$15,IF(L22=$T$15,$S$16,""))))))</f>
        <v>#VALUE!</v>
      </c>
      <c r="M26" s="717"/>
      <c r="N26" s="675"/>
      <c r="O26" s="676"/>
      <c r="P26" s="755" t="str">
        <f>IF(P22="","",IF(P22=$V$6,S12,IF(YEAR(N6)&lt;P20,"",IF(IF(L22=$V$6,$S$12,IF(L22=$T$12,$S$13,IF(L22=$T$13,$S$14,IF(L22=$T$14,$S$15,IF(L22=$T$15,$S$16,"")))))="",J26,L26))))</f>
        <v/>
      </c>
      <c r="Q26" s="756"/>
      <c r="R26" s="611"/>
      <c r="S26" s="611"/>
      <c r="T26" s="611"/>
      <c r="U26" s="611"/>
      <c r="V26" s="785" t="str">
        <f>IF(V22="","",IF(ISBLANK(Q6),"",IF(V22=$V$6,$S$12,IF(V22=$T$12,$S$13,IF(V22=$T$13,$S$14,IF(V22=$T$14,$S$15,IF(V22=$T$15,$S$16,"")))))))</f>
        <v/>
      </c>
      <c r="W26" s="796"/>
      <c r="X26" s="796"/>
      <c r="Y26" s="786"/>
      <c r="Z26" s="722"/>
      <c r="AA26" s="723"/>
      <c r="AB26" s="716" t="str">
        <f>IF(AB22="","",IF(AB22=$V$6,$S$12,IF(AB22=$T$12,$S$13,IF(AB22=$T$13,$S$14,IF(AB22=$T$14,$S$15,IF(AB22=$T$15,$S$16,IF(V26="",P26,V26)))))))</f>
        <v/>
      </c>
      <c r="AC26" s="717"/>
      <c r="AD26" s="785" t="str">
        <f>IF(AD22="","",IF(ISBLANK(V6),"",IF(AD22=$V$6,$S$12,IF(AD22=$T$12,$S$13,IF(AD22=$T$13,$S$14,IF(AD22=$T$14,$S$15,IF(AD22=$T$15,$S$16,"")))))))</f>
        <v/>
      </c>
      <c r="AE26" s="786"/>
      <c r="AF26" s="722"/>
      <c r="AG26" s="723"/>
    </row>
    <row r="27" spans="2:46" x14ac:dyDescent="0.35">
      <c r="B27" s="120" t="s">
        <v>4</v>
      </c>
      <c r="C27" s="94"/>
      <c r="D27" s="94"/>
      <c r="E27" s="94"/>
      <c r="F27" s="94"/>
      <c r="G27" s="94"/>
      <c r="H27" s="121"/>
      <c r="I27" s="95"/>
      <c r="J27" s="739">
        <f>IF(ISERROR(INDEX(EntgelteJahr1,MATCH(J25,GruppeJahr1,0),MATCH(J26,StufeJahr1,0))),0,INDEX(EntgelteJahr1,MATCH(J25,GruppeJahr1,0),MATCH(J26,StufeJahr1,0)))</f>
        <v>0</v>
      </c>
      <c r="K27" s="715"/>
      <c r="L27" s="714">
        <f>IF(ISERROR(INDEX(EntgelteJahr1,MATCH(L25,GruppeJahr1,0),MATCH(L26,StufeJahr1,0))),0,INDEX(EntgelteJahr1,MATCH(L25,GruppeJahr1,0),MATCH(L26,StufeJahr1,0)))</f>
        <v>0</v>
      </c>
      <c r="M27" s="715"/>
      <c r="N27" s="714">
        <f>IF(ISERROR(INDEX(EntgelteJahr1,MATCH(N25,GruppeJahr1,0),MATCH(N26,StufeJahr1,0))),0,INDEX(EntgelteJahr1,MATCH(N25,GruppeJahr1,0),MATCH(N26,StufeJahr1,0)))</f>
        <v>0</v>
      </c>
      <c r="O27" s="715"/>
      <c r="P27" s="714">
        <f>IF(ISERROR(INDEX(EntgelteJahr2,MATCH(P25,GruppeJahr2,0),MATCH(P26,StufeJahr2,0))),0,INDEX(EntgelteJahr2,MATCH(P25,GruppeJahr2,0),MATCH(P26,StufeJahr2,0)))</f>
        <v>0</v>
      </c>
      <c r="Q27" s="715"/>
      <c r="R27" s="122"/>
      <c r="S27" s="122"/>
      <c r="T27" s="122"/>
      <c r="U27" s="122"/>
      <c r="V27" s="714">
        <f>IF(ISERROR(INDEX(EntgelteJahr2,MATCH(V25,GruppeJahr2,0),MATCH(V26,StufeJahr2,0))),0,INDEX(EntgelteJahr2,MATCH(V25,GruppeJahr2,0),MATCH(V26,StufeJahr2,0)))</f>
        <v>0</v>
      </c>
      <c r="W27" s="739"/>
      <c r="X27" s="739"/>
      <c r="Y27" s="715"/>
      <c r="Z27" s="714">
        <f>IF(ISERROR(INDEX(EntgelteJahr2,MATCH(Z25,GruppeJahr2,0),MATCH(Z26,StufeJahr2,0))),0,INDEX(EntgelteJahr2,MATCH(Z25,GruppeJahr2,0),MATCH(Z26,StufeJahr2,0)))</f>
        <v>0</v>
      </c>
      <c r="AA27" s="715"/>
      <c r="AB27" s="714">
        <f>IF(ISERROR(INDEX(EntgelteJahr3,MATCH(AB25,GruppeJahr3,0),MATCH(AB26,StufeJahr3,0))),0,INDEX(EntgelteJahr3,MATCH(AB25,GruppeJahr3,0),MATCH(AB26,StufeJahr3,0)))</f>
        <v>0</v>
      </c>
      <c r="AC27" s="715"/>
      <c r="AD27" s="714">
        <f>IF(ISERROR(INDEX(EntgelteJahr3,MATCH(AD25,GruppeJahr3,0),MATCH(AD26,StufeJahr3,0))),0,INDEX(EntgelteJahr3,MATCH(AD25,GruppeJahr3,0),MATCH(AD26,StufeJahr3,0)))</f>
        <v>0</v>
      </c>
      <c r="AE27" s="715"/>
      <c r="AF27" s="714">
        <f>IF(ISERROR(INDEX(EntgelteJahr3,MATCH(AF25,GruppeJahr3,0),MATCH(AF26,StufeJahr3,0))),0,INDEX(EntgelteJahr3,MATCH(AF25,GruppeJahr3,0),MATCH(AF26,StufeJahr3,0)))</f>
        <v>0</v>
      </c>
      <c r="AG27" s="715"/>
    </row>
    <row r="28" spans="2:46" ht="17.25" x14ac:dyDescent="0.35">
      <c r="B28" s="104" t="s">
        <v>172</v>
      </c>
      <c r="C28" s="105"/>
      <c r="D28" s="105"/>
      <c r="E28" s="105"/>
      <c r="F28" s="105"/>
      <c r="G28" s="105"/>
      <c r="H28" s="107"/>
      <c r="I28" s="106"/>
      <c r="J28" s="754">
        <f>IF(ISERROR(INDEX(JszJahr1,MATCH(J25,JszGrJahr1,0),MATCH(J26,JszStJahr1,0))),0,(INDEX(JszJahr1,MATCH(J25,JszGrJahr1,0),MATCH(J26,JszStJahr1,0))))</f>
        <v>0</v>
      </c>
      <c r="K28" s="713"/>
      <c r="L28" s="712">
        <f>IF(ISERROR(INDEX(JszJahr1,MATCH(L25,JszGrJahr1,0),MATCH(L26,JszStJahr1,0))),0,(INDEX(JszJahr1,MATCH(L25,JszGrJahr1,0),MATCH(L26,JszStJahr1,0))))</f>
        <v>0</v>
      </c>
      <c r="M28" s="713"/>
      <c r="N28" s="712">
        <f>IF(ISERROR(INDEX(JszJahr1,MATCH(N25,JszGrJahr1,0),MATCH(N26,JszStJahr1,0))),0,(INDEX(JszJahr1,MATCH(N25,JszGrJahr1,0),MATCH(N26,JszStJahr1,0))))</f>
        <v>0</v>
      </c>
      <c r="O28" s="713"/>
      <c r="P28" s="712">
        <f>IF(ISERROR(INDEX(JszJahr2,MATCH(P25,JszGrJahr2,0),MATCH(P26,JszStJahr2,0))),0,(INDEX(JszJahr2,MATCH(P25,JszGrJahr2,0),MATCH(P26,JszStJahr2,0))))</f>
        <v>0</v>
      </c>
      <c r="Q28" s="713"/>
      <c r="R28" s="612"/>
      <c r="S28" s="612"/>
      <c r="T28" s="612"/>
      <c r="U28" s="612"/>
      <c r="V28" s="754">
        <f>IF(ISERROR(INDEX(JszJahr2,MATCH(V25,JszGrJahr2,0),MATCH(V26,JszStJahr2,0))),0,(INDEX(JszJahr2,MATCH(V25,JszGrJahr2,0),MATCH(V26,JszStJahr2,0))))</f>
        <v>0</v>
      </c>
      <c r="W28" s="754"/>
      <c r="X28" s="754"/>
      <c r="Y28" s="713"/>
      <c r="Z28" s="754">
        <f>IF(ISERROR(INDEX(JszJahr2,MATCH(Z25,JszGrJahr2,0),MATCH(Z26,JszStJahr2,0))),0,(INDEX(JszJahr2,MATCH(Z25,JszGrJahr2,0),MATCH(Z26,JszStJahr2,0))))</f>
        <v>0</v>
      </c>
      <c r="AA28" s="713"/>
      <c r="AB28" s="712">
        <f>IF(ISERROR(INDEX(JszJahr3,MATCH(AB25,JszGrJahr3,0),MATCH(AB26,JszStJahr3,0))),0,(INDEX(JszJahr3,MATCH(AB25,JszGrJahr3,0),MATCH(AB26,JszStJahr3,0))))</f>
        <v>0</v>
      </c>
      <c r="AC28" s="713"/>
      <c r="AD28" s="712">
        <f>IF(ISERROR(INDEX(JszJahr3,MATCH(AD25,JszGrJahr3,0),MATCH(AD26,JszStJahr3,0))),0,(INDEX(JszJahr3,MATCH(AD25,JszGrJahr3,0),MATCH(AD26,JszStJahr3,0))))</f>
        <v>0</v>
      </c>
      <c r="AE28" s="713"/>
      <c r="AF28" s="712">
        <f>IF(ISERROR(INDEX(JszJahr3,MATCH(AF25,JszGrJahr3,0),MATCH(AF26,JszStJahr3,0))),0,(INDEX(JszJahr3,MATCH(AF25,JszGrJahr3,0),MATCH(AF26,JszStJahr3,0))))</f>
        <v>0</v>
      </c>
      <c r="AG28" s="713"/>
    </row>
    <row r="29" spans="2:46" ht="16.149999999999999" hidden="1" customHeight="1" outlineLevel="1" thickBot="1" x14ac:dyDescent="0.4">
      <c r="B29" s="104" t="s">
        <v>43</v>
      </c>
      <c r="C29" s="105"/>
      <c r="D29" s="105"/>
      <c r="E29" s="105"/>
      <c r="F29" s="105"/>
      <c r="G29" s="105"/>
      <c r="H29" s="107"/>
      <c r="I29" s="106"/>
      <c r="J29" s="743" t="e">
        <f>IF(SUM(D68:F68)&gt;0,"ja","nein")</f>
        <v>#VALUE!</v>
      </c>
      <c r="K29" s="757"/>
      <c r="L29" s="757"/>
      <c r="M29" s="757"/>
      <c r="N29" s="757"/>
      <c r="O29" s="757"/>
      <c r="P29" s="740" t="str">
        <f>IF(SUM(S68:U68)&gt;0,"ja","nein")</f>
        <v>nein</v>
      </c>
      <c r="Q29" s="741"/>
      <c r="R29" s="741"/>
      <c r="S29" s="741"/>
      <c r="T29" s="741"/>
      <c r="U29" s="741"/>
      <c r="V29" s="742"/>
      <c r="W29" s="742"/>
      <c r="X29" s="742"/>
      <c r="Y29" s="742"/>
      <c r="Z29" s="741"/>
      <c r="AA29" s="743"/>
      <c r="AB29" s="707" t="str">
        <f>IF(SUM(AI68:AK68)&gt;0,"ja","nein")</f>
        <v>nein</v>
      </c>
      <c r="AC29" s="708"/>
      <c r="AD29" s="708"/>
      <c r="AE29" s="708"/>
      <c r="AF29" s="708"/>
      <c r="AG29" s="709"/>
    </row>
    <row r="30" spans="2:46" ht="16.5" collapsed="1" thickBot="1" x14ac:dyDescent="0.4">
      <c r="B30" s="123" t="s">
        <v>111</v>
      </c>
      <c r="C30" s="124"/>
      <c r="D30" s="124"/>
      <c r="E30" s="124"/>
      <c r="F30" s="124"/>
      <c r="G30" s="124"/>
      <c r="H30" s="126"/>
      <c r="I30" s="125"/>
      <c r="J30" s="750">
        <f>StundenJahr1</f>
        <v>39</v>
      </c>
      <c r="K30" s="725"/>
      <c r="L30" s="724">
        <f>StundenJahr1</f>
        <v>39</v>
      </c>
      <c r="M30" s="725"/>
      <c r="N30" s="724">
        <f>StundenJahr1</f>
        <v>39</v>
      </c>
      <c r="O30" s="725"/>
      <c r="P30" s="737">
        <f>StundenJahr2</f>
        <v>39</v>
      </c>
      <c r="Q30" s="738"/>
      <c r="R30" s="127"/>
      <c r="S30" s="127"/>
      <c r="T30" s="127"/>
      <c r="U30" s="127"/>
      <c r="V30" s="758">
        <f>StundenJahr2</f>
        <v>39</v>
      </c>
      <c r="W30" s="758"/>
      <c r="X30" s="758"/>
      <c r="Y30" s="738"/>
      <c r="Z30" s="758">
        <f>StundenJahr2</f>
        <v>39</v>
      </c>
      <c r="AA30" s="738"/>
      <c r="AB30" s="724">
        <f>StundenJahr3</f>
        <v>39</v>
      </c>
      <c r="AC30" s="725"/>
      <c r="AD30" s="724">
        <f>StundenJahr3</f>
        <v>39</v>
      </c>
      <c r="AE30" s="725"/>
      <c r="AF30" s="724">
        <f>StundenJahr3</f>
        <v>39</v>
      </c>
      <c r="AG30" s="725"/>
    </row>
    <row r="31" spans="2:46" ht="16.5" thickBot="1" x14ac:dyDescent="0.4">
      <c r="B31" s="120" t="s">
        <v>89</v>
      </c>
      <c r="C31" s="94"/>
      <c r="D31" s="94"/>
      <c r="E31" s="94"/>
      <c r="F31" s="94"/>
      <c r="G31" s="94"/>
      <c r="H31" s="121"/>
      <c r="I31" s="95"/>
      <c r="J31" s="751">
        <f>IF(J22="","",IF(YEAR(M6)&lt;$J$20,"",$O$6))</f>
        <v>0</v>
      </c>
      <c r="K31" s="711"/>
      <c r="L31" s="710">
        <f>IF(L27&gt;0,$O$6,0)</f>
        <v>0</v>
      </c>
      <c r="M31" s="711"/>
      <c r="N31" s="726"/>
      <c r="O31" s="727"/>
      <c r="P31" s="710" t="str">
        <f>IF(YEAR($N$6)&lt;$P$20,"",$O$6)</f>
        <v/>
      </c>
      <c r="Q31" s="711"/>
      <c r="R31" s="331"/>
      <c r="S31" s="331"/>
      <c r="T31" s="331"/>
      <c r="U31" s="331"/>
      <c r="V31" s="710">
        <f>IF(V27&gt;0,$O$6,0)</f>
        <v>0</v>
      </c>
      <c r="W31" s="751"/>
      <c r="X31" s="751"/>
      <c r="Y31" s="711"/>
      <c r="Z31" s="726"/>
      <c r="AA31" s="727"/>
      <c r="AB31" s="710" t="str">
        <f>IF(YEAR($N$6)&lt;$AB$20,"",$O$6)</f>
        <v/>
      </c>
      <c r="AC31" s="711"/>
      <c r="AD31" s="710">
        <f>IF(AD27&gt;0,$O$6,0)</f>
        <v>0</v>
      </c>
      <c r="AE31" s="711"/>
      <c r="AF31" s="726"/>
      <c r="AG31" s="727"/>
    </row>
    <row r="32" spans="2:46" ht="18" thickBot="1" x14ac:dyDescent="0.4">
      <c r="B32" s="123" t="s">
        <v>173</v>
      </c>
      <c r="C32" s="124"/>
      <c r="D32" s="124"/>
      <c r="E32" s="124"/>
      <c r="F32" s="124"/>
      <c r="G32" s="124"/>
      <c r="H32" s="128"/>
      <c r="I32" s="125"/>
      <c r="J32" s="728" t="e">
        <f>IF($X$5=TRUE,ZuschlagJahr1,0)</f>
        <v>#N/A</v>
      </c>
      <c r="K32" s="703"/>
      <c r="L32" s="702" t="e">
        <f>IF($X$5=TRUE,ZuschlagJahr1,0)</f>
        <v>#N/A</v>
      </c>
      <c r="M32" s="703"/>
      <c r="N32" s="702" t="e">
        <f>IF($X$5=TRUE,ZuschlagJahr1,0)</f>
        <v>#N/A</v>
      </c>
      <c r="O32" s="703"/>
      <c r="P32" s="702" t="e">
        <f>IF($X$5=TRUE,ZuschlagJahr2,0)</f>
        <v>#N/A</v>
      </c>
      <c r="Q32" s="703"/>
      <c r="R32" s="129"/>
      <c r="S32" s="129"/>
      <c r="T32" s="129"/>
      <c r="U32" s="129"/>
      <c r="V32" s="702" t="e">
        <f>IF($X$5=TRUE,ZuschlagJahr2,0)</f>
        <v>#N/A</v>
      </c>
      <c r="W32" s="728"/>
      <c r="X32" s="728"/>
      <c r="Y32" s="703"/>
      <c r="Z32" s="702" t="e">
        <f>IF($X$5=TRUE,ZuschlagJahr2,0)</f>
        <v>#N/A</v>
      </c>
      <c r="AA32" s="703"/>
      <c r="AB32" s="702" t="e">
        <f>IF($X$5=TRUE,ZuschlagJahr3,0)</f>
        <v>#N/A</v>
      </c>
      <c r="AC32" s="703"/>
      <c r="AD32" s="702" t="e">
        <f>IF($X$5=TRUE,ZuschlagJahr3,0)</f>
        <v>#N/A</v>
      </c>
      <c r="AE32" s="703"/>
      <c r="AF32" s="702" t="e">
        <f>IF($X$5=TRUE,ZuschlagJahr3,0)</f>
        <v>#N/A</v>
      </c>
      <c r="AG32" s="703"/>
    </row>
    <row r="33" spans="2:45" ht="61.5" customHeight="1" thickBot="1" x14ac:dyDescent="0.4">
      <c r="L33" s="115"/>
      <c r="M33" s="115"/>
      <c r="N33" s="115"/>
      <c r="O33" s="115"/>
      <c r="P33" s="115"/>
      <c r="Q33" s="115"/>
      <c r="R33" s="115"/>
      <c r="S33" s="115"/>
      <c r="T33" s="115"/>
      <c r="U33" s="115"/>
      <c r="V33" s="115"/>
      <c r="W33" s="115"/>
      <c r="X33" s="115"/>
      <c r="Y33" s="115"/>
      <c r="AB33" s="115"/>
      <c r="AC33" s="115"/>
      <c r="AD33" s="115"/>
      <c r="AE33" s="115"/>
    </row>
    <row r="34" spans="2:45" ht="27" customHeight="1" thickBot="1" x14ac:dyDescent="0.4">
      <c r="J34" s="744">
        <f>AB20+1</f>
        <v>1903</v>
      </c>
      <c r="K34" s="745"/>
      <c r="L34" s="745"/>
      <c r="M34" s="745"/>
      <c r="N34" s="745"/>
      <c r="O34" s="746"/>
      <c r="P34" s="747">
        <f>J34+1</f>
        <v>1904</v>
      </c>
      <c r="Q34" s="748"/>
      <c r="R34" s="748"/>
      <c r="S34" s="748"/>
      <c r="T34" s="748"/>
      <c r="U34" s="748"/>
      <c r="V34" s="748"/>
      <c r="W34" s="748"/>
      <c r="X34" s="748"/>
      <c r="Y34" s="748"/>
      <c r="Z34" s="748"/>
      <c r="AA34" s="749"/>
      <c r="AB34" s="704">
        <f>P34+1</f>
        <v>1905</v>
      </c>
      <c r="AC34" s="705"/>
      <c r="AD34" s="705"/>
      <c r="AE34" s="705"/>
      <c r="AF34" s="705"/>
      <c r="AG34" s="706"/>
    </row>
    <row r="35" spans="2:45" ht="16.5" thickBot="1" x14ac:dyDescent="0.4">
      <c r="B35" s="93"/>
      <c r="C35" s="94"/>
      <c r="D35" s="94"/>
      <c r="E35" s="94"/>
      <c r="F35" s="94"/>
      <c r="G35" s="94"/>
      <c r="H35" s="96"/>
      <c r="I35" s="95"/>
      <c r="J35" s="130" t="s">
        <v>0</v>
      </c>
      <c r="K35" s="131" t="s">
        <v>1</v>
      </c>
      <c r="L35" s="130" t="s">
        <v>0</v>
      </c>
      <c r="M35" s="131" t="s">
        <v>1</v>
      </c>
      <c r="N35" s="130" t="s">
        <v>0</v>
      </c>
      <c r="O35" s="131" t="s">
        <v>1</v>
      </c>
      <c r="P35" s="132" t="s">
        <v>0</v>
      </c>
      <c r="Q35" s="133" t="s">
        <v>1</v>
      </c>
      <c r="R35" s="134"/>
      <c r="S35" s="134"/>
      <c r="T35" s="134"/>
      <c r="U35" s="134"/>
      <c r="V35" s="132" t="s">
        <v>0</v>
      </c>
      <c r="W35" s="799" t="s">
        <v>1</v>
      </c>
      <c r="X35" s="799"/>
      <c r="Y35" s="800"/>
      <c r="Z35" s="132" t="s">
        <v>0</v>
      </c>
      <c r="AA35" s="133" t="s">
        <v>1</v>
      </c>
      <c r="AB35" s="135" t="s">
        <v>0</v>
      </c>
      <c r="AC35" s="136" t="s">
        <v>1</v>
      </c>
      <c r="AD35" s="135" t="s">
        <v>0</v>
      </c>
      <c r="AE35" s="136" t="s">
        <v>1</v>
      </c>
      <c r="AF35" s="135" t="s">
        <v>0</v>
      </c>
      <c r="AG35" s="136" t="s">
        <v>1</v>
      </c>
    </row>
    <row r="36" spans="2:45" ht="16.5" thickBot="1" x14ac:dyDescent="0.4">
      <c r="B36" s="123" t="s">
        <v>110</v>
      </c>
      <c r="C36" s="124"/>
      <c r="D36" s="124"/>
      <c r="E36" s="124"/>
      <c r="F36" s="124"/>
      <c r="G36" s="124"/>
      <c r="H36" s="126"/>
      <c r="I36" s="125"/>
      <c r="J36" s="327" t="str">
        <f>IF(OR(ISBLANK($M$6),ISBLANK($N$6)),"",IF(J34&lt;YEAR($M$6),$M$6,IF(YEAR($N$6)&gt;=J34,DATE(J34,1,1),"")))</f>
        <v/>
      </c>
      <c r="K36" s="328" t="str">
        <f>IF(IF(OR(ISBLANK($M$6),ISBLANK($N$6)),"",IF(J34&lt;YEAR($M$6),$M$6,IF(YEAR($N$6)&gt;=J34,DATE(J34,1,1),"")))="","",IF(AND(MONTH(1)=MONTH($V$6),J34=YEAR($N$6)),$N$6,IF(AND($V$6&lt;$N$6,$N$6&gt;$T$12,),$N$6,IF(MONTH(1)=MONTH($V$6),DATE(J34,12,31),IF(OR(ISBLANK($M$6),ISBLANK($N$6)),"",IF(AND(J34=YEAR($N$6),$V$6&gt;$N$6),$N$6,IF(J34=YEAR($V$6),$V$6-1,IF(J34=YEAR($T$12),$T$12-1,IF(J34=YEAR($T$13),$T$13-1,IF(J34=YEAR($T$14),$T$14-1,IF(J34=YEAR($T$15),$T$15-1,IF(J34=YEAR($T$16),$T$16-1,IF(YEAR($N$6)=J34,$N$6,DATE(J34,12,31))))))))))))))</f>
        <v/>
      </c>
      <c r="L36" s="327" t="str">
        <f>IF(YEAR(N6)&lt;J34,"",IF(OR(ISBLANK(M6),ISBLANK(N6)),"",IF(AND(J34=YEAR($N$6),$V$6&gt;$N$6),"",IF(MONTH(1)=MONTH($V$6),"",IF(J34=YEAR($V$6),$V$6,IF(J34=YEAR($T$12),$T$12,IF(J34=YEAR($T$13),$T$13,IF(J34=YEAR($T$14),$T$14,IF(J34=YEAR($T$15),$T$15,IF(J34=YEAR($T$16),$T$16,IF($N$6&lt;$T$12,"","")))))))))))</f>
        <v/>
      </c>
      <c r="M36" s="329" t="str">
        <f>IF(L36="","",IF(YEAR(N6)&lt;J34,"",IF(OR(ISBLANK($M$6),ISBLANK($N$6)),"",IF(MONTH(1)=MONTH($V$6),"",IF(IF(AND(J34=YEAR($N$6),$V$6&gt;$N$6),"",IF(J34=YEAR($V$6),$V$6,IF(J34=YEAR($T$12),$T$12,IF(J34=YEAR($T$13),$T$13,IF(J34=YEAR($T$14),$T$14,IF(J34=YEAR($T$15),$T$15,IF(J34=YEAR($T$16),$T$16,"")))))))="","",IF(YEAR($N$6)=J34,$N$6,DATE(J34,12,31)))))))</f>
        <v/>
      </c>
      <c r="N36" s="110"/>
      <c r="O36" s="110"/>
      <c r="P36" s="327" t="str">
        <f>IF(OR(ISBLANK($M$6),ISBLANK($N$6)),"",IF(P34&lt;YEAR($M$6),$M$6,IF(YEAR($N$6)&gt;=P34,DATE(P34,1,1),"")))</f>
        <v/>
      </c>
      <c r="Q36" s="328" t="str">
        <f>IF(IF(OR(ISBLANK($M$6),ISBLANK($N$6)),"",IF(P34&lt;YEAR($M$6),$M$6,IF(YEAR($N$6)&gt;=P34,DATE(P34,1,1),"")))="","",IF(AND(MONTH(1)=MONTH($V$6),P34=YEAR($N$6)),$N$6,IF(AND($V$6&lt;$N$6,$N$6&gt;$T$12,),$N$6,IF(MONTH(1)=MONTH($V$6),DATE(P34,12,31),IF(OR(ISBLANK($M$6),ISBLANK($N$6)),"",IF(AND(P34=YEAR($N$6),$V$6&gt;$N$6),$N$6,IF(P34=YEAR($V$6),$V$6-1,IF(P34=YEAR($T$12),$T$12-1,IF(P34=YEAR($T$13),$T$13-1,IF(P34=YEAR($T$14),$T$14-1,IF(P34=YEAR($T$15),$T$15-1,IF(P34=YEAR($T$16),$T$16-1,IF(YEAR($N$6)=P34,$N$6,DATE(P34,12,31))))))))))))))</f>
        <v/>
      </c>
      <c r="R36" s="108"/>
      <c r="S36" s="109"/>
      <c r="T36" s="108"/>
      <c r="U36" s="110"/>
      <c r="V36" s="327" t="str">
        <f>IF(IF(OR(ISBLANK($M$6),ISBLANK($N$6)),"",IF(P34&lt;YEAR($M$6),$M$6,IF(YEAR($N$6)&gt;=P34,DATE(P34,1,1),"")))="","",IF(MONTH(1)=MONTH($V$6),"",IF(AND(P34=YEAR($N$6),$V$6&gt;$N$6),"",IF(P34=YEAR($V$6),$V$6,IF(P34=YEAR($T$12),$T$12,IF(P34=YEAR($T$13),$T$13,IF(P34=YEAR($T$14),$T$14,IF(P34=YEAR($T$15),$T$15,IF(P34=YEAR($T$16),$T$16,IF($N$6&lt;$T$12,"",""))))))))))</f>
        <v/>
      </c>
      <c r="W36" s="794" t="str">
        <f>IF(V36="","",IF(IF(OR(ISBLANK($M$6),ISBLANK($N$6)),"",IF(P34&lt;YEAR($M$6),$M$6,IF(YEAR($N$6)&gt;=P34,DATE(P34,1,1),"")))="","",IF(MONTH(1)=MONTH($V$6),"",IF(IF(AND(P34=YEAR($N$6),$V$6&gt;$N$6),"",IF(P34=YEAR($V$6),$V$6,IF(P34=YEAR($T$12),$T$12,IF(P34=YEAR($T$13),$T$13,IF(P34=YEAR($T$14),$T$14,IF(P34=YEAR($T$15),$T$15,IF(P34=YEAR($T$16),$T$16,"")))))))="","",IF(YEAR($N$6)=P34,$N$6,DATE(P34,12,31))))))</f>
        <v/>
      </c>
      <c r="X36" s="794"/>
      <c r="Y36" s="795"/>
      <c r="Z36" s="108"/>
      <c r="AA36" s="109"/>
      <c r="AB36" s="327" t="str">
        <f>IF(AB34&lt;YEAR($M$6),$M$6,IF(YEAR($N$6)&gt;=AB34,DATE(AB34,1,1),""))</f>
        <v/>
      </c>
      <c r="AC36" s="328" t="str">
        <f>IF(IF(OR(ISBLANK($M$6),ISBLANK($N$6)),"",IF(AB34&lt;YEAR($M$6),$M$6,IF(YEAR($N$6)&gt;=AB34,DATE(AB34,1,1),"")))="","",IF(AND(MONTH(1)=MONTH($V$6),AB34=YEAR($N$6)),$N$6,IF(AND($V$6&lt;$N$6,$N$6&gt;$T$12,),$N$6,IF(MONTH(1)=MONTH($V$6),DATE(AB34,12,31),IF(OR(ISBLANK($M$6),ISBLANK($N$6)),"",IF(AND(AB34=YEAR($N$6),$V$6&gt;$N$6),$N$6,IF(AB34=YEAR($V$6),$V$6-1,IF(AB34=YEAR($T$12),$T$12-1,IF(AB34=YEAR($T$13),$T$13-1,IF(AB34=YEAR($T$14),$T$14-1,IF(AB34=YEAR($T$15),$T$15-1,IF(AB34=YEAR($T$16),$T$16-1,IF(YEAR($N$6)=AB34,$N$6,DATE(AB34,12,31))))))))))))))</f>
        <v/>
      </c>
      <c r="AD36" s="327" t="str">
        <f>IF(IF(AB34&lt;YEAR($M$6),$M$6,IF(YEAR($N$6)&gt;=AB34,DATE(AB34,1,1),""))="","",IF(MONTH(1)=MONTH($V$6),"",IF(AND(AB34=YEAR($N$6),$V$6&gt;$N$6),"",IF(AB34=YEAR($V$6),$V$6,IF(AB34=YEAR($T$12),$T$12,IF(AB34=YEAR($T$13),$T$13,IF(AB34=YEAR($T$14),$T$14,IF(AB34=YEAR($T$15),$T$15,IF(AB34=YEAR($T$16),$T$16,IF($N$6&lt;$T$12,"",""))))))))))</f>
        <v/>
      </c>
      <c r="AE36" s="329" t="str">
        <f>IF(AD36="","",IF(IF(AB34&lt;YEAR($M$6),$M$6,IF(YEAR($N$6)&gt;=AB34,DATE(AB34,1,1),""))="","",IF(MONTH(1)=MONTH($V$6),"",IF(IF(AND(AB34=YEAR($N$6),$V$6&gt;$N$6),"",IF(AB34=YEAR($V$6),$V$6,IF(AB34=YEAR($T$12),$T$12,IF(AB34=YEAR($T$13),$T$13,IF(AB34=YEAR($T$14),$T$14,IF(AB34=YEAR($T$15),$T$15,IF(AB34=YEAR($T$16),$T$16,"")))))))="","",IF(YEAR($N$6)=AB34,$N$6,DATE(AB34,12,31))))))</f>
        <v/>
      </c>
      <c r="AF36" s="110"/>
      <c r="AG36" s="109"/>
    </row>
    <row r="37" spans="2:45" ht="16.149999999999999" hidden="1" customHeight="1" outlineLevel="1" thickBot="1" x14ac:dyDescent="0.4">
      <c r="B37" s="442"/>
      <c r="C37" s="105"/>
      <c r="D37" s="105"/>
      <c r="E37" s="105"/>
      <c r="F37" s="105"/>
      <c r="G37" s="105"/>
      <c r="H37" s="82"/>
      <c r="I37" s="105"/>
      <c r="J37" s="111">
        <f>IF(J36="",0,(EOMONTH(J36,0)-J36+1)/(EOMONTH(J36,0)-EOMONTH(J36,-1))+(K36-EOMONTH(K36,-1))/(EOMONTH(K36,0)-EOMONTH(K36,-1))+MONTH(K36)-MONTH(J36)-1+(YEAR(K36)-YEAR(J36))*12)</f>
        <v>0</v>
      </c>
      <c r="K37" s="112" t="e">
        <f>IF(AND(DAY(J36)&gt;1,MONTH(J36)&lt;&gt;MONTH(K36)),30-DAY(J36)+1,IF(J36="",0,(IF(MONTH(J36)=MONTH(K36),IF(OR(K36=C77,K36=C78,K36=C79,K36=C80,K36=C81,K36=C82,K36=C83,K36=C84,K36=C85,K36=C86,K36=C87,K36=C88),30-DAY(J36)+1,IF(MONTH(J36)=MONTH(K36),DAY(K36)-DAY(J36)+1,0))))))</f>
        <v>#VALUE!</v>
      </c>
      <c r="L37" s="111">
        <f>IF(L36="",0,(EOMONTH(L36,0)-L36+1)/(EOMONTH(L36,0)-EOMONTH(L36,-1))+(M36-EOMONTH(M36,-1))/(EOMONTH(M36,0)-EOMONTH(M36,-1))+MONTH(M36)-MONTH(L36)-1+(YEAR(M36)-YEAR(L36))*12)</f>
        <v>0</v>
      </c>
      <c r="M37" s="112">
        <f>IF(L36="",0,IF(AND(DAY(L36)=1,MONTH(L36)&lt;&gt;MONTH(M36)),30,IF(AND(DAY(L36)&gt;1,MONTH(L36)&lt;&gt;MONTH(M36)),30-DAY(L36)+1,IF(MONTH(L36)=MONTH(M36),IF(OR(M36=C77,M36=C78,M36=C79,M36=C80,M36=C81,M36=C82,M36=C83,M36=C84,M36=C85,M36=C86,M36=C87,M36=C88),30-DAY(L36)+1,IF(MONTH(L36)=MONTH(M36),DAY(M36)-DAY(L36)+1,0))))))</f>
        <v>0</v>
      </c>
      <c r="N37" s="111">
        <f>IF(N36="",0,(EOMONTH(N36,0)-N36+1)/(EOMONTH(N36,0)-EOMONTH(N36,-1))+(O36-EOMONTH(O36,-1))/(EOMONTH(O36,0)-EOMONTH(O36,-1))+MONTH(O36)-MONTH(N36)-1+(YEAR(O36)-YEAR(N36))*12)</f>
        <v>0</v>
      </c>
      <c r="O37" s="112">
        <f>IF(N36="",0,IF(AND(DAY(N36)=1,MONTH(N36)&lt;&gt;MONTH(O36)),30,IF(AND(DAY(N36)&gt;1,MONTH(N36)&lt;&gt;MONTH(O36)),30-DAY(N36)+1,IF(MONTH(N36)=MONTH(O36),IF(OR(O36=C77,O36=C78,O36=C79,O36=C80,O36=C81,O36=C82,O36=C83,O36=C84,O36=C85,O36=C86,O36=C87,O36=C88),30-DAY(N36)+1,IF(MONTH(N36)=MONTH(O36),DAY(O36)-DAY(N36)+1,0))))))</f>
        <v>0</v>
      </c>
      <c r="P37" s="111">
        <f>IF(P36="",0,(EOMONTH(P36,0)-P36+1)/(EOMONTH(P36,0)-EOMONTH(P36,-1))+(Q36-EOMONTH(Q36,-1))/(EOMONTH(Q36,0)-EOMONTH(Q36,-1))+MONTH(Q36)-MONTH(P36)-1+(YEAR(Q36)-YEAR(P36))*12)</f>
        <v>0</v>
      </c>
      <c r="Q37" s="113" t="e">
        <f>IF(AND(DAY(P36)&gt;1,MONTH(P36)&lt;&gt;MONTH(Q36)),30-DAY(P36)+1,IF(P36="",0,(IF(MONTH(P36)=MONTH(Q36),IF(OR(Q36=R77,Q36=R78,Q36=R79,Q36=R80,Q36=R81,Q36=R82,Q36=R83,Q36=R84,Q36=R85,Q36=R86,Q36=R87,Q36=R88),30-DAY(P36)+1,IF(MONTH(P36)=MONTH(Q36),DAY(Q36)-DAY(P36)+1,0))))))</f>
        <v>#VALUE!</v>
      </c>
      <c r="R37" s="114"/>
      <c r="S37" s="114"/>
      <c r="T37" s="114"/>
      <c r="U37" s="114"/>
      <c r="V37" s="111">
        <f>IF(V36="",0,(EOMONTH(V36,0)-V36+1)/(EOMONTH(V36,0)-EOMONTH(V36,-1))+(W36-EOMONTH(W36,-1))/(EOMONTH(W36,0)-EOMONTH(W36,-1))+MONTH(W36)-MONTH(V36)-1+(YEAR(W36)-YEAR(V36))*12)</f>
        <v>0</v>
      </c>
      <c r="W37" s="112">
        <f>IF(V36="",0,IF(AND(DAY(V36)=1,MONTH(V36)&lt;&gt;MONTH(W36)),30,IF(AND(DAY(V36)&gt;1,MONTH(V36)&lt;&gt;MONTH(W36)),30-DAY(V36)+1,IF(MONTH(V36)=MONTH(W36),IF(OR(W36=R77,W36=R78,W36=R79,W36=R80,W36=R81,W36=R82,W36=R83,W36=R84,W36=R85,W36=R86,W36=R87,W36=R88),30-DAY(V36)+1,IF(MONTH(V36)=MONTH(W36),DAY(W36)-DAY(V36)+1,0))))))</f>
        <v>0</v>
      </c>
      <c r="X37" s="115"/>
      <c r="Y37" s="115"/>
      <c r="Z37" s="111">
        <f>IF(Z36="",0,(EOMONTH(Z36,0)-Z36+1)/(EOMONTH(Z36,0)-EOMONTH(Z36,-1))+(AA36-EOMONTH(AA36,-1))/(EOMONTH(AA36,0)-EOMONTH(AA36,-1))+MONTH(AA36)-MONTH(Z36)-1+(YEAR(AA36)-YEAR(Z36))*12)</f>
        <v>0</v>
      </c>
      <c r="AA37" s="112">
        <f>IF(Z36="",0,IF(AND(DAY(Z36)=1,MONTH(Z36)&lt;&gt;MONTH(AA36)),30,IF(AND(DAY(Z36)&gt;1,MONTH(Z36)&lt;&gt;MONTH(AA36)),30-DAY(Z36)+1,IF(MONTH(Z36)=MONTH(AA36),IF(OR(AA36=R77,AA36=R78,AA36=R79,AA36=R80,AA36=R81,AA36=R82,AA36=R83,AA36=R84,AA36=R85,AA36=R86,AA36=R87,AA36=R88),30-DAY(Z36)+1,IF(MONTH(Z36)=MONTH(AA36),DAY(AA36)-DAY(Z36)+1,0))))))</f>
        <v>0</v>
      </c>
      <c r="AB37" s="111">
        <f>IF(AB36="",0,(EOMONTH(AB36,0)-AB36+1)/(EOMONTH(AB36,0)-EOMONTH(AB36,-1))+(AC36-EOMONTH(AC36,-1))/(EOMONTH(AC36,0)-EOMONTH(AC36,-1))+MONTH(AC36)-MONTH(AB36)-1+(YEAR(AC36)-YEAR(AB36))*12)</f>
        <v>0</v>
      </c>
      <c r="AC37" s="112" t="e">
        <f>IF(AND(DAY(AB36)&gt;1,MONTH(AB36)&lt;&gt;MONTH(AC36)),30-DAY(AB36)+1,IF(AB36="",0,(IF(MONTH(AB36)=MONTH(AC36),IF(OR(AC36=AH77,AC36=AH78,AC36=AH79,AC36=AH80,AC36=AH81,AC36=AH82,AC36=AH83,AC36=AH84,AC36=AH85,AC36=AH86,AC36=AH87,AC36=AH88),30-DAY(AB36)+1,IF(MONTH(AB36)=MONTH(AC36),DAY(AC36)-DAY(AB36)+1,0))))))</f>
        <v>#VALUE!</v>
      </c>
      <c r="AD37" s="111">
        <f>IF(AD36="",0,(EOMONTH(AD36,0)-AD36+1)/(EOMONTH(AD36,0)-EOMONTH(AD36,-1))+(AE36-EOMONTH(AE36,-1))/(EOMONTH(AE36,0)-EOMONTH(AE36,-1))+MONTH(AE36)-MONTH(AD36)-1+(YEAR(AE36)-YEAR(AD36))*12)</f>
        <v>0</v>
      </c>
      <c r="AE37" s="112">
        <f>IF(AD36="",0,IF(AND(DAY(AD36)=1,MONTH(AD36)&lt;&gt;MONTH(AE36)),30,IF(AND(DAY(AD36)&gt;1,MONTH(AD36)&lt;&gt;MONTH(AE36)),30-DAY(AD36)+1,IF(MONTH(AD36)=MONTH(AE36),IF(OR(AE36=AH77,AE36=AH78,AE36=AH79,AE36=AH80,AE36=AH81,AE36=AH82,AE36=AH83,AE36=AH84,AE36=AH85,AE36=AH86,AE36=AH87,AE36=AH88),30-DAY(AD36)+1,IF(MONTH(AD36)=MONTH(AE36),DAY(AE36)-DAY(AD36)+1,0))))))</f>
        <v>0</v>
      </c>
      <c r="AF37" s="111">
        <f>IF(AF36="",0,(EOMONTH(AF36,0)-AF36+1)/(EOMONTH(AF36,0)-EOMONTH(AF36,-1))+(AG36-EOMONTH(AG36,-1))/(EOMONTH(AG36,0)-EOMONTH(AG36,-1))+MONTH(AG36)-MONTH(AF36)-1+(YEAR(AG36)-YEAR(AF36))*12)</f>
        <v>0</v>
      </c>
      <c r="AG37" s="112">
        <f>IF(AF36="",0,IF(AND(DAY(AF36)=1,MONTH(AF36)&lt;&gt;MONTH(AG36)),30,IF(AND(DAY(AF36)&gt;1,MONTH(AF36)&lt;&gt;MONTH(AG36)),30-DAY(AF36)+1,IF(MONTH(AF36)=MONTH(AG36),IF(OR(AG36=AH77,AG36=AH78,AG36=AH79,AG36=AH80,AG36=AH81,AG36=AH82,AG36=AH83,AG36=AH84,AG36=AH85,AG36=AH86,AG36=AH87,AG36=AH88),30-DAY(AF36)+1,IF(MONTH(AF36)=MONTH(AG36),DAY(AG36)-DAY(AF36)+1,0))))))</f>
        <v>0</v>
      </c>
    </row>
    <row r="38" spans="2:45" ht="16.5" collapsed="1" thickBot="1" x14ac:dyDescent="0.4">
      <c r="B38" s="116" t="s">
        <v>2</v>
      </c>
      <c r="C38" s="117"/>
      <c r="D38" s="117"/>
      <c r="E38" s="117"/>
      <c r="F38" s="117"/>
      <c r="G38" s="117"/>
      <c r="H38" s="117"/>
      <c r="I38" s="118"/>
      <c r="J38" s="671">
        <f>IF(J36="",0,(J41*J45)*(J46+100%))</f>
        <v>0</v>
      </c>
      <c r="K38" s="670"/>
      <c r="L38" s="671">
        <f>IF(L36="",0,(L41*L45)*(L46+100%))</f>
        <v>0</v>
      </c>
      <c r="M38" s="670"/>
      <c r="N38" s="671">
        <f>IF(N36="",0,(N41*N45)*(N46+100%))</f>
        <v>0</v>
      </c>
      <c r="O38" s="670"/>
      <c r="P38" s="671">
        <f>IF(P36="",0,(P41*P45)*(P46+100%))</f>
        <v>0</v>
      </c>
      <c r="Q38" s="670"/>
      <c r="R38" s="613"/>
      <c r="S38" s="613"/>
      <c r="T38" s="613"/>
      <c r="U38" s="613"/>
      <c r="V38" s="671">
        <f>IF(V36="",0,(V41*V45)*(V46+100%))</f>
        <v>0</v>
      </c>
      <c r="W38" s="669"/>
      <c r="X38" s="669"/>
      <c r="Y38" s="670"/>
      <c r="Z38" s="671">
        <f>IF(Z36="",0,(Z41*Z45)*(Z46+100%))</f>
        <v>0</v>
      </c>
      <c r="AA38" s="670"/>
      <c r="AB38" s="671">
        <f>IF(AB36="",0,(AB41*AB45)*(AB46+100%))</f>
        <v>0</v>
      </c>
      <c r="AC38" s="670"/>
      <c r="AD38" s="671">
        <f>IF(AD36="",0,(AD41*AD45)*(AD46+100%))</f>
        <v>0</v>
      </c>
      <c r="AE38" s="670"/>
      <c r="AF38" s="671">
        <f>IF(AF36="",0,(AF41*AF45)*(AF46+100%))</f>
        <v>0</v>
      </c>
      <c r="AG38" s="670"/>
    </row>
    <row r="39" spans="2:45" x14ac:dyDescent="0.35">
      <c r="B39" s="120" t="s">
        <v>114</v>
      </c>
      <c r="C39" s="94"/>
      <c r="D39" s="94"/>
      <c r="E39" s="94"/>
      <c r="F39" s="94"/>
      <c r="G39" s="94"/>
      <c r="H39" s="121"/>
      <c r="I39" s="95"/>
      <c r="J39" s="716" t="str">
        <f>IF(YEAR(N6)&lt;J34,"",$P$6)</f>
        <v/>
      </c>
      <c r="K39" s="717"/>
      <c r="L39" s="716" t="e">
        <f>IF(OR(L36=$V$6,L36=$T$12,L36=$T$13,L36=$T$14,L36=$T$15,L36=$T$16),J39,"")</f>
        <v>#VALUE!</v>
      </c>
      <c r="M39" s="717"/>
      <c r="N39" s="675"/>
      <c r="O39" s="676"/>
      <c r="P39" s="716" t="str">
        <f>IF(IF(OR(ISBLANK($M$6),ISBLANK($N$6)),"",IF(P34&lt;YEAR($M$6),$M$6,IF(YEAR($N$6)&gt;=P34,DATE(P34,1,1),"")))="","",$P$6)</f>
        <v/>
      </c>
      <c r="Q39" s="717"/>
      <c r="R39" s="611"/>
      <c r="S39" s="611"/>
      <c r="T39" s="611"/>
      <c r="U39" s="611"/>
      <c r="V39" s="674" t="e">
        <f>IF(OR(V36=$V$6,V36=$T$12,V36=$T$13,V36=$T$14,V36=$T$15,V36=$T$16),P39,"")</f>
        <v>#VALUE!</v>
      </c>
      <c r="W39" s="672"/>
      <c r="X39" s="672"/>
      <c r="Y39" s="673"/>
      <c r="Z39" s="731"/>
      <c r="AA39" s="732"/>
      <c r="AB39" s="674" t="str">
        <f>IF(IF(OR(ISBLANK($M$6),ISBLANK($N$6)),"",IF(AB34&lt;YEAR($M$6),$M$6,IF(YEAR($N$6)&gt;=AB34,DATE(AB34,1,1),"")))="","",$P$6)</f>
        <v/>
      </c>
      <c r="AC39" s="673"/>
      <c r="AD39" s="716" t="e">
        <f>IF(OR(AD36=$V$6,AD36=$T$12,AD36=$T$13,AD36=$T$14,AD36=$T$15,AD36=$T$16),AB39,"")</f>
        <v>#VALUE!</v>
      </c>
      <c r="AE39" s="717"/>
      <c r="AF39" s="731"/>
      <c r="AG39" s="732"/>
    </row>
    <row r="40" spans="2:45" ht="18" thickBot="1" x14ac:dyDescent="0.4">
      <c r="B40" s="123" t="s">
        <v>171</v>
      </c>
      <c r="C40" s="124"/>
      <c r="D40" s="124"/>
      <c r="E40" s="124"/>
      <c r="F40" s="124"/>
      <c r="G40" s="124"/>
      <c r="H40" s="126"/>
      <c r="I40" s="125"/>
      <c r="J40" s="716" t="str">
        <f>IF(J36="","",IF(J36=$V$6,$S$12,IF(J36=$T$12,$S$13,IF(J36=$T$13,$S$14,IF(J36=$T$14,$S$15,IF(J36=$T$15,$S$16,IF(AD26="",AB26,AD26)))))))</f>
        <v/>
      </c>
      <c r="K40" s="717"/>
      <c r="L40" s="716" t="str">
        <f>IF(L36="","",IF(ISBLANK(Q6),"",IF(L36=$V$6,$S$12,IF(L36=$T$12,$S$13,IF(L36=$T$13,$S$14,IF(L36=$T$14,$S$15,IF(L36=$T$15,$S$16,"")))))))</f>
        <v/>
      </c>
      <c r="M40" s="717"/>
      <c r="N40" s="675"/>
      <c r="O40" s="676"/>
      <c r="P40" s="755" t="str">
        <f>IF(P36="","",IF(P36=$V$6,$S$12,IF(P36=$T$12,$S$13,IF(P36=$T$13,$S$14,IF(P36=$T$14,$S$15,IF(P36=$T$15,$S$16,IF(L40="",J40,L40)))))))</f>
        <v/>
      </c>
      <c r="Q40" s="756"/>
      <c r="R40" s="611"/>
      <c r="S40" s="611"/>
      <c r="T40" s="611"/>
      <c r="U40" s="611"/>
      <c r="V40" s="785" t="e">
        <f>IF(ISBLANK(Q6),"",IF(V36=$V$6,$S$12,IF(V36=$T$12,$S$13,IF(V36=$T$13,$S$14,IF(V36=$T$14,$S$15,IF(V36=$T$15,$S$16,""))))))</f>
        <v>#VALUE!</v>
      </c>
      <c r="W40" s="796"/>
      <c r="X40" s="796"/>
      <c r="Y40" s="786"/>
      <c r="Z40" s="722"/>
      <c r="AA40" s="723"/>
      <c r="AB40" s="716" t="str">
        <f>IF(AB36="","",IF(AB36=$V$6,$S$12,IF(AB36=$T$12,$S$13,IF(AB36=$T$13,$S$14,IF(AB36=$T$14,$S$15,IF(AB36=$T$15,$S$16,IF(V40="",P40,V40)))))))</f>
        <v/>
      </c>
      <c r="AC40" s="717"/>
      <c r="AD40" s="729" t="str">
        <f>IF(AD36="","",IF(ISBLANK(V24),"",IF(AD36=$V$6,$S$12,IF(AD36=$T$12,$S$13,IF(AD36=$T$13,$S$14,IF(AD36=$T$14,$S$15,IF(AD36=$T$15,$S$16,"")))))))</f>
        <v/>
      </c>
      <c r="AE40" s="730"/>
      <c r="AF40" s="722"/>
      <c r="AG40" s="723"/>
    </row>
    <row r="41" spans="2:45" x14ac:dyDescent="0.35">
      <c r="B41" s="120" t="s">
        <v>4</v>
      </c>
      <c r="C41" s="94"/>
      <c r="D41" s="94"/>
      <c r="E41" s="94"/>
      <c r="F41" s="94"/>
      <c r="G41" s="94"/>
      <c r="H41" s="121"/>
      <c r="I41" s="95"/>
      <c r="J41" s="714">
        <f>IF(ISERROR(INDEX(EntgelteJahr4,MATCH(J39,GruppeJahr4,0),MATCH(J40,StufeJahr4,0))),0,INDEX(EntgelteJahr4,MATCH(J39,GruppeJahr4,0),MATCH(J40,StufeJahr4,0)))</f>
        <v>0</v>
      </c>
      <c r="K41" s="715"/>
      <c r="L41" s="714">
        <f>IF(ISERROR(INDEX(EntgelteJahr4,MATCH(L39,GruppeJahr4,0),MATCH(L40,StufeJahr4,0))),0,INDEX(EntgelteJahr4,MATCH(L39,GruppeJahr4,0),MATCH(L40,StufeJahr4,0)))</f>
        <v>0</v>
      </c>
      <c r="M41" s="715"/>
      <c r="N41" s="714">
        <f>IF(ISERROR(INDEX(EntgelteJahr4,MATCH(N39,GruppeJahr4,0),MATCH(N40,StufeJahr4,0))),0,INDEX(EntgelteJahr4,MATCH(N39,GruppeJahr4,0),MATCH(N40,StufeJahr4,0)))</f>
        <v>0</v>
      </c>
      <c r="O41" s="715"/>
      <c r="P41" s="714">
        <f>IF(ISERROR(INDEX(EntgelteJahr5,MATCH(P39,GruppeJahr5,0),MATCH(P40,StufeJahr5,0))),0,INDEX(EntgelteJahr5,MATCH(P39,GruppeJahr5,0),MATCH(P40,StufeJahr5,0)))</f>
        <v>0</v>
      </c>
      <c r="Q41" s="715"/>
      <c r="R41" s="122"/>
      <c r="S41" s="122"/>
      <c r="T41" s="122"/>
      <c r="U41" s="122"/>
      <c r="V41" s="714">
        <f>IF(ISERROR(INDEX(EntgelteJahr5,MATCH(V39,GruppeJahr5,0),MATCH(V40,StufeJahr5,0))),0,INDEX(EntgelteJahr5,MATCH(V39,GruppeJahr5,0),MATCH(V40,StufeJahr5,0)))</f>
        <v>0</v>
      </c>
      <c r="W41" s="739"/>
      <c r="X41" s="739"/>
      <c r="Y41" s="715"/>
      <c r="Z41" s="714">
        <f>IF(ISERROR(INDEX(EntgelteJahr5,MATCH(Z39,GruppeJahr5,0),MATCH(Z40,StufeJahr5,0))),0,INDEX(EntgelteJahr5,MATCH(Z39,GruppeJahr5,0),MATCH(Z40,StufeJahr5,0)))</f>
        <v>0</v>
      </c>
      <c r="AA41" s="715"/>
      <c r="AB41" s="714">
        <f>IF(ISERROR(INDEX(EntgelteJahr6,MATCH(AB39,GruppeJahr6,0),MATCH(AB40,StufeJahr6,0))),0,INDEX(EntgelteJahr6,MATCH(AB39,GruppeJahr6,0),MATCH(AB40,StufeJahr6,0)))</f>
        <v>0</v>
      </c>
      <c r="AC41" s="715"/>
      <c r="AD41" s="714">
        <f>IF(ISERROR(INDEX(EntgelteJahr6,MATCH(AD39,GruppeJahr6,0),MATCH(AD40,StufeJahr6,0))),0,INDEX(EntgelteJahr6,MATCH(AD39,GruppeJahr6,0),MATCH(AD40,StufeJahr6,0)))</f>
        <v>0</v>
      </c>
      <c r="AE41" s="715"/>
      <c r="AF41" s="714">
        <f>IF(ISERROR(INDEX(EntgelteJahr6,MATCH(AF39,GruppeJahr6,0),MATCH(AF40,StufeJahr6,0))),0,INDEX(EntgelteJahr6,MATCH(AF39,GruppeJahr6,0),MATCH(AF40,StufeJahr6,0)))</f>
        <v>0</v>
      </c>
      <c r="AG41" s="715"/>
    </row>
    <row r="42" spans="2:45" ht="17.25" x14ac:dyDescent="0.35">
      <c r="B42" s="104" t="s">
        <v>172</v>
      </c>
      <c r="C42" s="105"/>
      <c r="D42" s="105"/>
      <c r="E42" s="105"/>
      <c r="F42" s="105"/>
      <c r="G42" s="105"/>
      <c r="H42" s="107"/>
      <c r="I42" s="106"/>
      <c r="J42" s="712">
        <f>IF(ISERROR(INDEX(JszJahr4,MATCH(J39,JszGrJahr4,0),MATCH(J40,JszStJahr4,0))),0,(INDEX(JszJahr4,MATCH(J39,JszGrJahr4,0),MATCH(J40,JszStJahr4,0))))</f>
        <v>0</v>
      </c>
      <c r="K42" s="713"/>
      <c r="L42" s="712">
        <f>IF(ISERROR(INDEX(JszJahr4,MATCH(L39,JszGrJahr4,0),MATCH(L40,JszStJahr4,0))),0,(INDEX(JszJahr4,MATCH(L39,JszGrJahr4,0),MATCH(L40,JszStJahr4,0))))</f>
        <v>0</v>
      </c>
      <c r="M42" s="713"/>
      <c r="N42" s="712">
        <f>IF(ISERROR(INDEX(JszJahr4,MATCH(N39,JszGrJahr4,0),MATCH(N40,JszStJahr4,0))),0,(INDEX(JszJahr4,MATCH(N39,JszGrJahr4,0),MATCH(N40,JszStJahr4,0))))</f>
        <v>0</v>
      </c>
      <c r="O42" s="713"/>
      <c r="P42" s="712">
        <f>IF(ISERROR(INDEX(JszJahr5,MATCH(P39,JszGrJahr5,0),MATCH(P40,JszStJahr5,0))),0,(INDEX(JszJahr5,MATCH(P39,JszGrJahr5,0),MATCH(P40,JszStJahr5,0))))</f>
        <v>0</v>
      </c>
      <c r="Q42" s="713"/>
      <c r="R42" s="612"/>
      <c r="S42" s="612"/>
      <c r="T42" s="612"/>
      <c r="U42" s="612"/>
      <c r="V42" s="754">
        <f>IF(ISERROR(INDEX(JszJahr5,MATCH(V39,JszGrJahr5,0),MATCH(V40,JszStJahr5,0))),0,(INDEX(JszJahr5,MATCH(V39,JszGrJahr5,0),MATCH(V40,JszStJahr5,0))))</f>
        <v>0</v>
      </c>
      <c r="W42" s="754"/>
      <c r="X42" s="754"/>
      <c r="Y42" s="713"/>
      <c r="Z42" s="754">
        <f>IF(ISERROR(INDEX(JszJahr5,MATCH(Z39,JszGrJahr5,0),MATCH(Z40,JszStJahr5,0))),0,(INDEX(JszJahr5,MATCH(Z39,JszGrJahr5,0),MATCH(Z40,JszStJahr5,0))))</f>
        <v>0</v>
      </c>
      <c r="AA42" s="713"/>
      <c r="AB42" s="712">
        <f>IF(ISERROR(INDEX(JszJahr6,MATCH(AB39,JszGrJahr6,0),MATCH(AB40,JszStJahr6,0))),0,(INDEX(JszJahr6,MATCH(AB39,JszGrJahr6,0),MATCH(AB40,JszStJahr6,0))))</f>
        <v>0</v>
      </c>
      <c r="AC42" s="713"/>
      <c r="AD42" s="712">
        <f>IF(ISERROR(INDEX(JszJahr6,MATCH(AD39,JszGrJahr6,0),MATCH(AD40,JszStJahr6,0))),0,(INDEX(JszJahr6,MATCH(AD39,JszGrJahr6,0),MATCH(AD40,JszStJahr6,0))))</f>
        <v>0</v>
      </c>
      <c r="AE42" s="713"/>
      <c r="AF42" s="712">
        <f>IF(ISERROR(INDEX(JszJahr6,MATCH(AF39,JszGrJahr6,0),MATCH(AF40,JszStJahr6,0))),0,(INDEX(JszJahr6,MATCH(AF39,JszGrJahr6,0),MATCH(AF40,JszStJahr6,0))))</f>
        <v>0</v>
      </c>
      <c r="AG42" s="713"/>
    </row>
    <row r="43" spans="2:45" ht="16.149999999999999" hidden="1" customHeight="1" outlineLevel="1" thickBot="1" x14ac:dyDescent="0.4">
      <c r="B43" s="104" t="s">
        <v>43</v>
      </c>
      <c r="C43" s="105"/>
      <c r="D43" s="105"/>
      <c r="E43" s="105"/>
      <c r="F43" s="105"/>
      <c r="G43" s="105"/>
      <c r="H43" s="107"/>
      <c r="I43" s="106"/>
      <c r="J43" s="757" t="str">
        <f>IF(SUM(D88:F88)&gt;0,"ja","nein")</f>
        <v>nein</v>
      </c>
      <c r="K43" s="757"/>
      <c r="L43" s="757"/>
      <c r="M43" s="757"/>
      <c r="N43" s="757"/>
      <c r="O43" s="757"/>
      <c r="P43" s="740" t="str">
        <f>IF(SUM(S88:U88)&gt;0,"ja","nein")</f>
        <v>nein</v>
      </c>
      <c r="Q43" s="741"/>
      <c r="R43" s="741"/>
      <c r="S43" s="741"/>
      <c r="T43" s="741"/>
      <c r="U43" s="741"/>
      <c r="V43" s="742"/>
      <c r="W43" s="742"/>
      <c r="X43" s="742"/>
      <c r="Y43" s="742"/>
      <c r="Z43" s="741"/>
      <c r="AA43" s="743"/>
      <c r="AB43" s="707" t="str">
        <f>IF(SUM(AI88:AK88)&gt;0,"ja","nein")</f>
        <v>nein</v>
      </c>
      <c r="AC43" s="708"/>
      <c r="AD43" s="708"/>
      <c r="AE43" s="708"/>
      <c r="AF43" s="708"/>
      <c r="AG43" s="709"/>
    </row>
    <row r="44" spans="2:45" ht="16.5" collapsed="1" thickBot="1" x14ac:dyDescent="0.4">
      <c r="B44" s="123" t="s">
        <v>111</v>
      </c>
      <c r="C44" s="124"/>
      <c r="D44" s="124"/>
      <c r="E44" s="124"/>
      <c r="F44" s="124"/>
      <c r="G44" s="124"/>
      <c r="H44" s="126"/>
      <c r="I44" s="125"/>
      <c r="J44" s="724">
        <f>StundenJahr4</f>
        <v>39</v>
      </c>
      <c r="K44" s="725"/>
      <c r="L44" s="724">
        <f>StundenJahr4</f>
        <v>39</v>
      </c>
      <c r="M44" s="725"/>
      <c r="N44" s="724">
        <f>StundenJahr4</f>
        <v>39</v>
      </c>
      <c r="O44" s="725"/>
      <c r="P44" s="737">
        <f>StundenJahr5</f>
        <v>39</v>
      </c>
      <c r="Q44" s="738"/>
      <c r="R44" s="127"/>
      <c r="S44" s="127"/>
      <c r="T44" s="127"/>
      <c r="U44" s="127"/>
      <c r="V44" s="758">
        <f>StundenJahr5</f>
        <v>39</v>
      </c>
      <c r="W44" s="758"/>
      <c r="X44" s="758"/>
      <c r="Y44" s="738"/>
      <c r="Z44" s="758">
        <f>StundenJahr5</f>
        <v>39</v>
      </c>
      <c r="AA44" s="738"/>
      <c r="AB44" s="724">
        <f>StundenJahr6</f>
        <v>39</v>
      </c>
      <c r="AC44" s="725"/>
      <c r="AD44" s="724">
        <f>StundenJahr6</f>
        <v>39</v>
      </c>
      <c r="AE44" s="725"/>
      <c r="AF44" s="724">
        <f>StundenJahr6</f>
        <v>39</v>
      </c>
      <c r="AG44" s="725"/>
    </row>
    <row r="45" spans="2:45" ht="16.5" thickBot="1" x14ac:dyDescent="0.4">
      <c r="B45" s="120" t="s">
        <v>89</v>
      </c>
      <c r="C45" s="94"/>
      <c r="D45" s="94"/>
      <c r="E45" s="94"/>
      <c r="F45" s="94"/>
      <c r="G45" s="94"/>
      <c r="H45" s="121"/>
      <c r="I45" s="95"/>
      <c r="J45" s="710" t="str">
        <f>IF(YEAR($N$6)&lt;$J$34,"",$O$6)</f>
        <v/>
      </c>
      <c r="K45" s="711"/>
      <c r="L45" s="710">
        <f>IF(L41&gt;0,$O$6,0)</f>
        <v>0</v>
      </c>
      <c r="M45" s="711"/>
      <c r="N45" s="726"/>
      <c r="O45" s="727"/>
      <c r="P45" s="710" t="str">
        <f>IF(YEAR($N$6)&lt;$P$34,"",$O$6)</f>
        <v/>
      </c>
      <c r="Q45" s="711"/>
      <c r="R45" s="331"/>
      <c r="S45" s="331"/>
      <c r="T45" s="331"/>
      <c r="U45" s="331"/>
      <c r="V45" s="710">
        <f>IF(V41&gt;0,$O$6,0)</f>
        <v>0</v>
      </c>
      <c r="W45" s="751"/>
      <c r="X45" s="751"/>
      <c r="Y45" s="711"/>
      <c r="Z45" s="726"/>
      <c r="AA45" s="727"/>
      <c r="AB45" s="710" t="str">
        <f>IF(YEAR($N$6)&lt;$AB$34,"",$O$6)</f>
        <v/>
      </c>
      <c r="AC45" s="711"/>
      <c r="AD45" s="710">
        <f>IF(AD41&gt;0,$O$6,0)</f>
        <v>0</v>
      </c>
      <c r="AE45" s="711"/>
      <c r="AF45" s="726"/>
      <c r="AG45" s="727"/>
    </row>
    <row r="46" spans="2:45" ht="18" thickBot="1" x14ac:dyDescent="0.4">
      <c r="B46" s="123" t="s">
        <v>173</v>
      </c>
      <c r="C46" s="124"/>
      <c r="D46" s="124"/>
      <c r="E46" s="124"/>
      <c r="F46" s="124"/>
      <c r="G46" s="124"/>
      <c r="H46" s="128"/>
      <c r="I46" s="125"/>
      <c r="J46" s="702" t="e">
        <f>IF($X$5=TRUE,ZuschlagJahr4,0)</f>
        <v>#N/A</v>
      </c>
      <c r="K46" s="703"/>
      <c r="L46" s="702" t="e">
        <f>IF($X$5=TRUE,ZuschlagJahr4,0)</f>
        <v>#N/A</v>
      </c>
      <c r="M46" s="703"/>
      <c r="N46" s="702" t="e">
        <f>IF($X$5=TRUE,ZuschlagJahr4,0)</f>
        <v>#N/A</v>
      </c>
      <c r="O46" s="703"/>
      <c r="P46" s="702" t="e">
        <f>IF($X$5=TRUE,ZuschlagJahr5,0)</f>
        <v>#N/A</v>
      </c>
      <c r="Q46" s="703"/>
      <c r="R46" s="129"/>
      <c r="S46" s="129"/>
      <c r="T46" s="129"/>
      <c r="U46" s="129"/>
      <c r="V46" s="702" t="e">
        <f>IF($X$5=TRUE,ZuschlagJahr5,0)</f>
        <v>#N/A</v>
      </c>
      <c r="W46" s="728"/>
      <c r="X46" s="728"/>
      <c r="Y46" s="703"/>
      <c r="Z46" s="702" t="e">
        <f>IF($X$5=TRUE,ZuschlagJahr5,0)</f>
        <v>#N/A</v>
      </c>
      <c r="AA46" s="703"/>
      <c r="AB46" s="702" t="e">
        <f>IF($X$5=TRUE,ZuschlagJahr6,0)</f>
        <v>#N/A</v>
      </c>
      <c r="AC46" s="703"/>
      <c r="AD46" s="702" t="e">
        <f>IF($X$5=TRUE,ZuschlagJahr6,0)</f>
        <v>#N/A</v>
      </c>
      <c r="AE46" s="703"/>
      <c r="AF46" s="702" t="e">
        <f>IF($X$5=TRUE,ZuschlagJahr6,0)</f>
        <v>#N/A</v>
      </c>
      <c r="AG46" s="703"/>
    </row>
    <row r="47" spans="2:45" x14ac:dyDescent="0.35">
      <c r="L47" s="115"/>
      <c r="M47" s="115"/>
      <c r="N47" s="115"/>
      <c r="O47" s="115"/>
      <c r="P47" s="115"/>
      <c r="Q47" s="115"/>
      <c r="R47" s="115"/>
      <c r="S47" s="115"/>
      <c r="T47" s="115"/>
      <c r="U47" s="115"/>
      <c r="V47" s="115"/>
      <c r="W47" s="115"/>
      <c r="X47" s="115"/>
      <c r="Y47" s="115"/>
    </row>
    <row r="48" spans="2:45" ht="18" x14ac:dyDescent="0.35">
      <c r="B48" s="383" t="s">
        <v>180</v>
      </c>
      <c r="L48" s="137"/>
      <c r="M48" s="137"/>
      <c r="N48" s="115"/>
      <c r="O48" s="137"/>
      <c r="P48" s="137"/>
      <c r="Q48" s="137"/>
      <c r="R48" s="137"/>
      <c r="S48" s="137"/>
      <c r="T48" s="137"/>
      <c r="U48" s="137"/>
      <c r="AS48" s="138"/>
    </row>
    <row r="49" spans="2:46" ht="18" x14ac:dyDescent="0.35">
      <c r="B49" s="383" t="s">
        <v>181</v>
      </c>
      <c r="L49" s="137"/>
      <c r="M49" s="137"/>
      <c r="N49" s="137"/>
      <c r="O49" s="137"/>
      <c r="P49" s="137"/>
      <c r="Q49" s="137"/>
      <c r="R49" s="137"/>
      <c r="S49" s="137"/>
      <c r="T49" s="137"/>
      <c r="U49" s="137"/>
    </row>
    <row r="50" spans="2:46" ht="18" x14ac:dyDescent="0.35">
      <c r="B50" s="599" t="s">
        <v>278</v>
      </c>
      <c r="C50" s="598"/>
      <c r="D50" s="598"/>
      <c r="E50" s="598"/>
      <c r="F50" s="598"/>
      <c r="G50" s="598"/>
      <c r="J50" s="139"/>
      <c r="K50" s="140"/>
      <c r="L50" s="141"/>
      <c r="M50" s="140"/>
      <c r="N50" s="137"/>
      <c r="O50" s="137"/>
      <c r="P50" s="137"/>
      <c r="Q50" s="137"/>
      <c r="R50" s="137"/>
      <c r="S50" s="137"/>
      <c r="T50" s="137"/>
      <c r="U50" s="137"/>
    </row>
    <row r="51" spans="2:46" x14ac:dyDescent="0.35">
      <c r="B51" s="634" t="s">
        <v>265</v>
      </c>
      <c r="C51" s="634"/>
      <c r="D51" s="634"/>
      <c r="E51" s="634"/>
      <c r="F51" s="634"/>
      <c r="G51" s="634"/>
      <c r="J51" s="139"/>
      <c r="K51" s="140"/>
      <c r="L51" s="141"/>
      <c r="M51" s="140"/>
      <c r="N51" s="137"/>
      <c r="O51" s="137"/>
      <c r="P51" s="137"/>
      <c r="Q51" s="137"/>
      <c r="R51" s="137"/>
      <c r="S51" s="137"/>
      <c r="T51" s="137"/>
      <c r="U51" s="137"/>
    </row>
    <row r="52" spans="2:46" ht="24.75" hidden="1" customHeight="1" outlineLevel="1" thickBot="1" x14ac:dyDescent="0.4">
      <c r="B52" s="142" t="s">
        <v>77</v>
      </c>
      <c r="C52" s="138"/>
      <c r="D52" s="140"/>
      <c r="E52" s="140"/>
      <c r="F52" s="140"/>
      <c r="G52" s="143" t="e">
        <f>G55+V55+AL55+G75+V75+AL75</f>
        <v>#NUM!</v>
      </c>
      <c r="J52" s="138"/>
      <c r="K52" s="140"/>
      <c r="L52" s="140"/>
      <c r="M52" s="140"/>
      <c r="N52" s="137"/>
      <c r="P52" s="137"/>
      <c r="Q52" s="137"/>
      <c r="R52" s="137"/>
      <c r="S52" s="137"/>
      <c r="T52" s="137"/>
      <c r="U52" s="137"/>
    </row>
    <row r="53" spans="2:46" collapsed="1" x14ac:dyDescent="0.35">
      <c r="B53" s="383"/>
      <c r="J53" s="138"/>
      <c r="K53" s="140"/>
      <c r="L53" s="140"/>
      <c r="M53" s="140"/>
      <c r="N53" s="137"/>
      <c r="P53" s="137"/>
      <c r="Q53" s="137"/>
      <c r="R53" s="137"/>
      <c r="S53" s="137"/>
      <c r="T53" s="137"/>
      <c r="U53" s="137"/>
    </row>
    <row r="54" spans="2:46" ht="18.75" customHeight="1" thickBot="1" x14ac:dyDescent="0.4">
      <c r="G54" s="139"/>
      <c r="L54" s="137"/>
      <c r="M54" s="137"/>
      <c r="N54" s="137"/>
      <c r="O54" s="137"/>
      <c r="P54" s="137"/>
      <c r="Q54" s="137"/>
      <c r="R54" s="137"/>
      <c r="S54" s="137"/>
      <c r="T54" s="137"/>
      <c r="U54" s="137"/>
    </row>
    <row r="55" spans="2:46" ht="16.5" thickBot="1" x14ac:dyDescent="0.4">
      <c r="B55" s="144" t="s">
        <v>59</v>
      </c>
      <c r="C55" s="145"/>
      <c r="D55" s="145"/>
      <c r="E55" s="145"/>
      <c r="F55" s="145"/>
      <c r="G55" s="146" t="e">
        <f>J23+L23+N23</f>
        <v>#NUM!</v>
      </c>
      <c r="H55" s="145"/>
      <c r="L55" s="137"/>
      <c r="M55" s="137"/>
      <c r="N55" s="137"/>
      <c r="O55" s="137"/>
      <c r="P55" s="753" t="s">
        <v>59</v>
      </c>
      <c r="Q55" s="736"/>
      <c r="R55" s="147"/>
      <c r="S55" s="147"/>
      <c r="T55" s="147"/>
      <c r="U55" s="147"/>
      <c r="V55" s="735">
        <f>P23+V23+Z23</f>
        <v>0</v>
      </c>
      <c r="W55" s="736"/>
      <c r="AC55" s="137"/>
      <c r="AD55" s="137"/>
      <c r="AE55" s="137"/>
      <c r="AF55" s="720" t="s">
        <v>59</v>
      </c>
      <c r="AG55" s="721"/>
      <c r="AH55" s="433"/>
      <c r="AI55" s="433"/>
      <c r="AJ55" s="433"/>
      <c r="AK55" s="433"/>
      <c r="AL55" s="771">
        <f>AB23+AD23+AF23</f>
        <v>0</v>
      </c>
      <c r="AM55" s="734"/>
    </row>
    <row r="56" spans="2:46" x14ac:dyDescent="0.35">
      <c r="B56" s="144">
        <f>J20</f>
        <v>1900</v>
      </c>
      <c r="C56" s="145" t="s">
        <v>31</v>
      </c>
      <c r="D56" s="145" t="s">
        <v>32</v>
      </c>
      <c r="E56" s="145" t="s">
        <v>33</v>
      </c>
      <c r="F56" s="145" t="s">
        <v>34</v>
      </c>
      <c r="G56" s="145" t="s">
        <v>5</v>
      </c>
      <c r="H56" s="145" t="s">
        <v>6</v>
      </c>
      <c r="I56" s="145" t="s">
        <v>299</v>
      </c>
      <c r="J56" s="145" t="s">
        <v>7</v>
      </c>
      <c r="K56" s="145" t="s">
        <v>8</v>
      </c>
      <c r="L56" s="145" t="s">
        <v>9</v>
      </c>
      <c r="M56" s="145" t="s">
        <v>10</v>
      </c>
      <c r="N56" s="145" t="s">
        <v>11</v>
      </c>
      <c r="O56" s="149"/>
      <c r="P56" s="753">
        <f>B56+1</f>
        <v>1901</v>
      </c>
      <c r="Q56" s="736"/>
      <c r="R56" s="147" t="s">
        <v>31</v>
      </c>
      <c r="S56" s="147" t="s">
        <v>32</v>
      </c>
      <c r="T56" s="147" t="s">
        <v>33</v>
      </c>
      <c r="U56" s="147" t="s">
        <v>34</v>
      </c>
      <c r="V56" s="752" t="s">
        <v>5</v>
      </c>
      <c r="W56" s="736"/>
      <c r="X56" s="147" t="s">
        <v>6</v>
      </c>
      <c r="Y56" s="147" t="s">
        <v>299</v>
      </c>
      <c r="Z56" s="147" t="s">
        <v>7</v>
      </c>
      <c r="AA56" s="147" t="s">
        <v>8</v>
      </c>
      <c r="AB56" s="147" t="s">
        <v>9</v>
      </c>
      <c r="AC56" s="147" t="s">
        <v>10</v>
      </c>
      <c r="AD56" s="147" t="s">
        <v>11</v>
      </c>
      <c r="AF56" s="718">
        <f>P56+1</f>
        <v>1902</v>
      </c>
      <c r="AG56" s="719"/>
      <c r="AH56" s="433" t="s">
        <v>31</v>
      </c>
      <c r="AI56" s="433" t="s">
        <v>32</v>
      </c>
      <c r="AJ56" s="433" t="s">
        <v>33</v>
      </c>
      <c r="AK56" s="433" t="s">
        <v>34</v>
      </c>
      <c r="AL56" s="733" t="s">
        <v>5</v>
      </c>
      <c r="AM56" s="734"/>
      <c r="AN56" s="150" t="s">
        <v>6</v>
      </c>
      <c r="AO56" s="150" t="s">
        <v>299</v>
      </c>
      <c r="AP56" s="150" t="s">
        <v>7</v>
      </c>
      <c r="AQ56" s="150" t="s">
        <v>8</v>
      </c>
      <c r="AR56" s="150" t="s">
        <v>9</v>
      </c>
      <c r="AS56" s="150" t="s">
        <v>10</v>
      </c>
      <c r="AT56" s="150" t="s">
        <v>11</v>
      </c>
    </row>
    <row r="57" spans="2:46" x14ac:dyDescent="0.35">
      <c r="B57" s="151" t="s">
        <v>12</v>
      </c>
      <c r="C57" s="152">
        <f>EOMONTH(CONCATENATE("01.","01.",$B$56),0)</f>
        <v>31</v>
      </c>
      <c r="D57" s="153" t="e">
        <f t="shared" ref="D57:D68" si="0">IF($J$22="",0,IF(AND(DAY($J$22)&gt;1,MONTH(C57)=MONTH($J$22)),$K$23,IF(AND(C57&gt;=$J$22,C57&lt;=$K$22),30,IF((MONTH(C57)=MONTH($K$22)),DAY($K$22),0))))</f>
        <v>#VALUE!</v>
      </c>
      <c r="E57" s="153" t="e">
        <f t="shared" ref="E57:E68" si="1">IF($L$22="",0,IF(C57&lt;$L$22,0,IF(AND(MONTH($L$22)=MONTH($M$22),MONTH(C57)=MONTH($M$22)),$M$23,IF(AND(MONTH($L$22)&lt;&gt;MONTH($M$22),MONTH(C57)=MONTH($L$22)),$M$23,IF(AND(D57&gt;0,DAY($J$22)&gt;1,MONTH($J$22)=MONTH($K$22)),30-D57-DAY($J$22)+1,IF(AND(D57&gt;0,DAY($J$22)&gt;1),30-D57,(IF(D57&gt;0,30-D57,IF(AND(C57&gt;=$L$22,C57&lt;=$M$22),30,IF((MONTH(C57)=MONTH($M$22)),DAY($M$22),0))))))))))</f>
        <v>#VALUE!</v>
      </c>
      <c r="F57" s="153">
        <f>IF($N$22="",0,IF(C57&lt;$N$22,0,IF(AND(MONTH($N$22)=MONTH($O$22),MONTH(C57)=MONTH($O$22)),$O$23,IF(AND(MONTH($N$22)&lt;&gt;MONTH($O$22),MONTH(C57)=MONTH($N$22)),$O$23,IF(AND(E57&gt;0,MONTH($N$22)=MONTH($M$22)),30-DAY($M$22),(IF(E57&gt;0,30-D57-E57,IF(AND(C57&gt;=$N$22,C57&lt;=$O$22),30,IF((MONTH(C57)=MONTH($O$22)),DAY($O$22),0)))))))))</f>
        <v>0</v>
      </c>
      <c r="G57" s="154" t="e">
        <f>IF($B$56=2026,((D57*$J$24/30)+(E57*$L$24/30)+(F57*$N$24/30))*100/102.8,
IF($B$56=2027,((D57*$J$24/30)+(E57*$L$24/30)+(F57*$N$24/30))*100/102,
IF(AND($B$56=2028,$X$5=TRUE),((D57*$J$24/30)+(E57*$L$24/30)+(F57*$N$24/30))*100/102,
(D57*$J$24/30)+(E57*$L$24/30)+(F57*$N$24/30))))</f>
        <v>#VALUE!</v>
      </c>
      <c r="H57" s="155" t="e">
        <f t="shared" ref="H57:H68" si="2">IF(AND(SUM(D57:F57)=30,F57&gt;0),$N$24*$N$28,IF(AND(SUM(D57:F57)=30,E57&gt;0),$L$24*$L$28,IF(AND(SUM(D57:F57)=30,D57&gt;0),$J$24*$J$28,"")))</f>
        <v>#VALUE!</v>
      </c>
      <c r="I57" s="156" t="e">
        <f>IF(AND($X$9=TRUE,G57&gt;0,$B$56&lt;&gt;2026),(MZJahr1*$O$10),0)</f>
        <v>#VALUE!</v>
      </c>
      <c r="J57" s="155" t="e">
        <f>IF(G57=0,0,IF(AND($J$29="ja",$X$6=TRUE),(AVERAGE($H$63:$H$68))/12*COUNTIFS($G$57:$G$68,"&gt;0"),IF(AND($X$6=TRUE,$J$29="nein"),(AVERAGE($H$57:$H$68)/12)*COUNTIFS($G$57:$G$68,"&gt;0"),IF(AND(OR($X$6="",$X$6=FALSE),$J$29="ja"),(AVERAGE($H$63:$H$68))/12*COUNTIFS($G$57:$G$68,"&gt;0"),0)))/COUNTIFS($G$57:$G$68,"&gt;0"))</f>
        <v>#VALUE!</v>
      </c>
      <c r="K57" s="156" t="e">
        <f t="shared" ref="K57:K68" si="3">IF((G57)&gt;=Bmg2Jahr1,AGHBTR_Jahr1,IF((G57)&gt;=Bmg1Jahr1,(RvBeitrJahr1*(G57+J57))+(AvBeitrJahr1*(G57+J57))+(U2UmlJahr1*(G57+J57))+HBetrKVJahr1+HBetrPVJahr1,AGBTR_Jahr1*(G57+J57)))</f>
        <v>#VALUE!</v>
      </c>
      <c r="L57" s="156" t="e">
        <f t="shared" ref="L57:L68" si="4">IF($X$8=TRUE,VZunbDM1*(G57+J57+K57+I57-U2UmlJahr1*(G57+J57)),VzDmJahr1*(G57+J57))</f>
        <v>#N/A</v>
      </c>
      <c r="M57" s="156" t="e">
        <f t="shared" ref="M57:M68" si="5">IF(G57&gt;0,(LukJahr1*$W$6),0)</f>
        <v>#VALUE!</v>
      </c>
      <c r="N57" s="156" t="e">
        <f>SUM(G57,J57,K57,L57,M57+I57)</f>
        <v>#VALUE!</v>
      </c>
      <c r="O57" s="157"/>
      <c r="P57" s="667" t="s">
        <v>12</v>
      </c>
      <c r="Q57" s="668"/>
      <c r="R57" s="152">
        <f>EOMONTH(CONCATENATE("01.","01.",$P$56),0)</f>
        <v>397</v>
      </c>
      <c r="S57" s="153">
        <f>IF($P$22="",0,IF(AND(DAY($P$22)&gt;1,MONTH(R57)=MONTH($P$22)),$Q$23,IF(AND(R57&gt;=$P$22,R57&lt;=$Q$22),30,IF((MONTH(R57)=MONTH($Q$22)),DAY($Q$22),0))))</f>
        <v>0</v>
      </c>
      <c r="T57" s="153">
        <f>IF($V$22="",0,IF(R57&lt;$V$22,0,IF(AND(MONTH($V$22)=MONTH($W$22),MONTH(R57)=MONTH($W$22)),$W$23,IF(AND(MONTH($V$22)&lt;&gt;MONTH($W$22),MONTH(R57)=MONTH($V$22)),$W$23,IF(AND(S57&gt;0,DAY($P$22)&gt;1,MONTH($P$22)=MONTH($Q$22)),30-S57-DAY($P$22)+1,IF(AND(S57&gt;0,DAY($P$22)&gt;1),30-S57,(IF(S57&gt;0,30-S57,IF(AND(R57&gt;=$V$22,R57&lt;=$W$22),30,IF((MONTH(R57)=MONTH($W$22)),DAY($W$22),0))))))))))</f>
        <v>0</v>
      </c>
      <c r="U57" s="153">
        <f t="shared" ref="U57:U68" si="6">IF($Z$22="",0,IF(R57&lt;$Z$22,0,IF(AND(MONTH($Z$22)=MONTH($AA$22),MONTH(R57)=MONTH($AA$22)),$AA$23,IF(AND(MONTH($Z$22)&lt;&gt;MONTH($AA$22),MONTH(R57)=MONTH($Z$22)),$AA$23,IF(AND(T57&gt;0,MONTH($Z$22)=MONTH($W$22)),30-DAY($W$22),(IF(T57&gt;0,30-S57-T57,IF(AND(R57&gt;=$Z$22,R57&lt;=$AA$22),30,IF((MONTH(R57)=MONTH($AA$22)),DAY($AA$22),0)))))))))</f>
        <v>0</v>
      </c>
      <c r="V57" s="677">
        <f>IF($P$56=2027,((S57*$P$24/30)+(T57*$V$24/30)+(U57*$Z$24/30))*100/102,
IF(AND($P$56=2028,$X$5=TRUE),((S57*$P$24/30)+(T57*$V$24/30)+(U57*$Z$24/30))*100/102,
(S57*$P$24/30)+(T57*$V$24/30)+(U57*$Z$24/30)))</f>
        <v>0</v>
      </c>
      <c r="W57" s="678"/>
      <c r="X57" s="155" t="str">
        <f t="shared" ref="X57:X64" si="7">IF(AND(SUM(S57:U57)=30,U57&gt;0),$Z$24*$Z$28,IF(AND(SUM(S57:U57)=30,T57&gt;0),$V$24*$V$28,IF(AND(SUM(S57:U57)=30,S57&gt;0),$P$24*$P$28,"")))</f>
        <v/>
      </c>
      <c r="Y57" s="156">
        <f t="shared" ref="Y57:Y68" si="8">IF(AND($X$9=TRUE,V57&gt;0),(MZJahr2*$O$10),0)</f>
        <v>0</v>
      </c>
      <c r="Z57" s="155">
        <f>IF(V57=0,0,IF(AND($P$29="ja",$X$6=TRUE),(AVERAGE($X$63:$X$68))/12*COUNTIFS($V$57:$W$68,"&gt;0"),IF(AND($X$6=TRUE,$P$29="nein"),(AVERAGE($X$57:$X$68)/12)*COUNTIFS($V$57:$W$68,"&gt;0"),IF(AND(OR($X$6="",$X$6=FALSE),$P$29="ja"),(AVERAGE($X$63:$X$68))/12*COUNTIFS($V$57:$W$68,"&gt;0"),0)))/COUNTIFS($V$57:$W$68,"&gt;0"))</f>
        <v>0</v>
      </c>
      <c r="AA57" s="156" t="e">
        <f t="shared" ref="AA57:AA68" si="9">IF((V57)&gt;=Bmg2Jahr2,AGHBTR_Jahr2,IF((V57)&gt;=Bmg1Jahr2,(RvBeitrJahr2*(V57+Z57))+(AvBeitrJahr2*(V57+Z57))+(U2UmlJahr2*(V57+Z57))+HBetrKVJahr2+HBetrPVJahr2,AGBTR_Jahr2*(V57+Z57)))</f>
        <v>#N/A</v>
      </c>
      <c r="AB57" s="156" t="e">
        <f t="shared" ref="AB57:AB68" si="10">IF($X$8=TRUE,VZunbDM1*(U57+Y57+Z57+AA57-U2UmlJahr1*(V57+Z57)),VzDmJahr1*(V57+Z57))</f>
        <v>#N/A</v>
      </c>
      <c r="AC57" s="156">
        <f t="shared" ref="AC57:AC68" si="11">IF(V57&gt;0,(LukJahr2*$W$6),0)</f>
        <v>0</v>
      </c>
      <c r="AD57" s="156" t="e">
        <f>SUM(V57,Z57,AA57,AB57,AC57+Y57)</f>
        <v>#N/A</v>
      </c>
      <c r="AE57" s="158"/>
      <c r="AF57" s="667" t="s">
        <v>12</v>
      </c>
      <c r="AG57" s="668"/>
      <c r="AH57" s="152">
        <f>EOMONTH(CONCATENATE("01.","01.",$AF$56),0)</f>
        <v>762</v>
      </c>
      <c r="AI57" s="153">
        <f t="shared" ref="AI57:AI68" si="12">IF($AB$22="",0,IF(AND(DAY($AB$22)&gt;1,MONTH(AH57)=MONTH($AB$22)),$AC$23,IF(AND(AH57&gt;=$AB$22,AH57&lt;=$AC$22),30,IF((MONTH(AH57)=MONTH($AC$22)),DAY($AC$22),0))))</f>
        <v>0</v>
      </c>
      <c r="AJ57" s="153">
        <f t="shared" ref="AJ57:AJ68" si="13">IF($AD$22="",0,IF(AH57&lt;$AD$22,0,IF(AND(MONTH($AD$22)=MONTH($AE$22),MONTH(AH57)=MONTH($AE$22)),$AE$23,IF(AND(MONTH($AD$22)&lt;&gt;MONTH($AE$22),MONTH(AH57)=MONTH($AD$22)),$AE$23,IF(AND(AI57&gt;0,DAY($AB$22)&gt;1,MONTH($AB$22)=MONTH($AC$22)),30-AI57-DAY($AB$22)+1,IF(AND(AI57&gt;0,DAY($AB$22)&gt;1),30-AI57,(IF(AI57&gt;0,30-AI57,IF(AND(AH57&gt;=$AD$22,AH57&lt;=$AE$22),30,IF((MONTH(AH57)=MONTH($AE$22)),DAY($AE$22),0))))))))))</f>
        <v>0</v>
      </c>
      <c r="AK57" s="153">
        <f t="shared" ref="AK57:AK68" si="14">IF($AF$22="",0,IF(AH57&lt;$AF$22,0,IF(AND(MONTH($AF$22)=MONTH($AG$22),MONTH(AH57)=MONTH($AG$22)),$AG$23,IF(AND(MONTH($AF$22)&lt;&gt;MONTH($AG$22),MONTH(AH57)=MONTH($AF$22)),$AG$23,IF(AND(AJ57&gt;0,MONTH($AF$22)=MONTH($AE$22)),30-DAY($AE$22),(IF(AJ57&gt;0,30-AI57-AJ57,IF(AND(AH57&gt;=$AF$22,AH57&lt;=$AG$22),30,IF((MONTH(AH57)=MONTH($AG$22)),DAY($AG$22),0)))))))))</f>
        <v>0</v>
      </c>
      <c r="AL57" s="677">
        <f t="shared" ref="AL57:AL62" si="15">IF(AND($AF$56=2028,$X$5=TRUE),((AI57*$AB$24/30)+(AJ57*$AD$24/30)+(AK57*$AF$24/30))*100/102,(AI57*$AB$24/30)+(AJ57*$AD$24/30)+(AK57*$AF$24/30))</f>
        <v>0</v>
      </c>
      <c r="AM57" s="678"/>
      <c r="AN57" s="155" t="str">
        <f t="shared" ref="AN57:AN68" si="16">IF(AND(SUM(AI57:AK57)=30,AK57&gt;0),$AF$24*$AF$28,IF(AND(SUM(AI57:AK57)=30,AJ57&gt;0),$AD$24*$AD$28,IF(AND(SUM(AI57:AK57)=30,AI57&gt;0),$AB$24*$AB$28,"")))</f>
        <v/>
      </c>
      <c r="AO57" s="156">
        <f t="shared" ref="AO57:AO68" si="17">IF(AND($X$9=TRUE,AL57&gt;0),(MZJahr3*$O$10),0)</f>
        <v>0</v>
      </c>
      <c r="AP57" s="155">
        <f>IF(AL57=0,0,IF(AND($AB$29="ja",$X$6=TRUE),(AVERAGE($AN$63:$AN$68))/12*COUNTIFS($AL$57:$AM$68,"&gt;0"),IF(AND($X$6=TRUE,$AB$29="nein"),(AVERAGE($AN$57:$AN$68)/12)*COUNTIFS($AL$57:$AM$68,"&gt;0"),IF(AND(OR($X$6="",$X$6=FALSE),$AB$29="ja"),(AVERAGE($AN$63:$AN$68))/12*COUNTIFS($AL$57:$AM$68,"&gt;0"),0)))/COUNTIFS($AL$57:$AM$68,"&gt;0"))</f>
        <v>0</v>
      </c>
      <c r="AQ57" s="156" t="e">
        <f t="shared" ref="AQ57:AQ68" si="18">IF((AL57)&gt;=Bmg2Jahr3,AGHBTR_Jahr3,IF((AL57)&gt;=Bmg1Jahr3,(RvBeitrJahr3*(AL57+AP57))+(AvBeitrJahr3*(AL57+AP57))+(U2UmlJahr3*(AL57+AP57))+HBetrKVJahr3+HBetrPVJahr3,AGBTR_Jahr3*(AL57+AP57)))</f>
        <v>#N/A</v>
      </c>
      <c r="AR57" s="156" t="e">
        <f t="shared" ref="AR57:AR68" si="19">IF($X$8=TRUE,VZunbDM1*(AK57+AO57+AP57+AQ57-U2UmlJahr1*(AL57+AP57)),VzDmJahr1*(AL57+AP57))</f>
        <v>#N/A</v>
      </c>
      <c r="AS57" s="156">
        <f t="shared" ref="AS57:AS68" si="20">IF(AL57&gt;0,(LukJahr3*$W$6),0)</f>
        <v>0</v>
      </c>
      <c r="AT57" s="156" t="e">
        <f>SUM(AL57,AP57,AQ57,AR57,AS57+AO57)</f>
        <v>#N/A</v>
      </c>
    </row>
    <row r="58" spans="2:46" x14ac:dyDescent="0.35">
      <c r="B58" s="151" t="s">
        <v>13</v>
      </c>
      <c r="C58" s="152">
        <f>EOMONTH(CONCATENATE("01.","01.",$B$56),1)</f>
        <v>59</v>
      </c>
      <c r="D58" s="153" t="e">
        <f t="shared" si="0"/>
        <v>#VALUE!</v>
      </c>
      <c r="E58" s="153" t="e">
        <f t="shared" si="1"/>
        <v>#VALUE!</v>
      </c>
      <c r="F58" s="153">
        <f t="shared" ref="F58:F68" si="21">IF($N$22="",0,IF(C58&lt;$N$22,0,IF(AND(MONTH($N$22)=MONTH($O$22),MONTH(C58)=MONTH($O$22)),$O$23,IF(AND(MONTH($N$22)&lt;&gt;MONTH($O$22),MONTH(C58)=MONTH($N$22)),$O$23,IF(AND(E58&gt;0,MONTH($N$22)=MONTH($M$22)),30-DAY($M$22),(IF(E58&gt;0,30-D58-E58,IF(AND(C58&gt;=$N$22,C58&lt;=$O$22),30,IF((MONTH(C58)=MONTH($O$22)),DAY($O$22),0)))))))))</f>
        <v>0</v>
      </c>
      <c r="G58" s="154" t="e">
        <f>IF($B$56=2026,((D58*$J$24/30)+(E58*$L$24/30)+(F58*$N$24/30))*100/102.8,
IF($B$56=2027,((D58*$J$24/30)+(E58*$L$24/30)+(F58*$N$24/30))*100/102,
IF(AND($B$56=2028,$X$5=TRUE),((D58*$J$24/30)+(E58*$L$24/30)+(F58*$N$24/30))*100/102,
(D58*$J$24/30)+(E58*$L$24/30)+(F58*$N$24/30))))</f>
        <v>#VALUE!</v>
      </c>
      <c r="H58" s="155" t="e">
        <f t="shared" si="2"/>
        <v>#VALUE!</v>
      </c>
      <c r="I58" s="156" t="e">
        <f>IF(AND($X$9=TRUE,G58&gt;0,$B$56&lt;&gt;2026),(MZJahr1*$O$10),0)</f>
        <v>#VALUE!</v>
      </c>
      <c r="J58" s="155" t="e">
        <f t="shared" ref="J58:J68" si="22">IF(G58=0,0,IF(AND($J$29="ja",$X$6=TRUE),(AVERAGE($H$63:$H$68))/12*COUNTIFS($G$57:$G$68,"&gt;0"),IF(AND($X$6=TRUE,$J$29="nein"),(AVERAGE($H$57:$H$68)/12)*COUNTIFS($G$57:$G$68,"&gt;0"),IF(AND(OR($X$6="",$X$6=FALSE),$J$29="ja"),(AVERAGE($H$63:$H$68))/12*COUNTIFS($G$57:$G$68,"&gt;0"),0)))/COUNTIFS($G$57:$G$68,"&gt;0"))</f>
        <v>#VALUE!</v>
      </c>
      <c r="K58" s="156" t="e">
        <f t="shared" si="3"/>
        <v>#VALUE!</v>
      </c>
      <c r="L58" s="156" t="e">
        <f t="shared" si="4"/>
        <v>#N/A</v>
      </c>
      <c r="M58" s="156" t="e">
        <f t="shared" si="5"/>
        <v>#VALUE!</v>
      </c>
      <c r="N58" s="156" t="e">
        <f t="shared" ref="N58:N68" si="23">SUM(G58,J58,K58,L58,M58+I58)</f>
        <v>#VALUE!</v>
      </c>
      <c r="O58" s="157"/>
      <c r="P58" s="667" t="s">
        <v>13</v>
      </c>
      <c r="Q58" s="668"/>
      <c r="R58" s="152">
        <f>EOMONTH(CONCATENATE("01.","01.",$P$56),1)</f>
        <v>425</v>
      </c>
      <c r="S58" s="153">
        <f t="shared" ref="S58:S68" si="24">IF($P$22="",0,IF(AND(DAY($P$22)&gt;1,MONTH(R58)=MONTH($P$22)),$Q$23,IF(AND(R58&gt;=$P$22,R58&lt;=$Q$22),30,IF((MONTH(R58)=MONTH($Q$22)),DAY($Q$22),0))))</f>
        <v>0</v>
      </c>
      <c r="T58" s="153">
        <f t="shared" ref="T58:T68" si="25">IF($V$22="",0,IF(R58&lt;$V$22,0,IF(AND(MONTH($V$22)=MONTH($W$22),MONTH(R58)=MONTH($W$22)),$W$23,IF(AND(MONTH($V$22)&lt;&gt;MONTH($W$22),MONTH(R58)=MONTH($V$22)),$W$23,IF(AND(S58&gt;0,DAY($P$22)&gt;1,MONTH($P$22)=MONTH($Q$22)),30-S58-DAY($P$22)+1,IF(AND(S58&gt;0,DAY($P$22)&gt;1),30-S58,(IF(S58&gt;0,30-S58,IF(AND(R58&gt;=$V$22,R58&lt;=$W$22),30,IF((MONTH(R58)=MONTH($W$22)),DAY($W$22),0))))))))))</f>
        <v>0</v>
      </c>
      <c r="U58" s="153">
        <f t="shared" si="6"/>
        <v>0</v>
      </c>
      <c r="V58" s="677">
        <f>IF($P$56=2027,((S58*$P$24/30)+(T58*$V$24/30)+(U58*$Z$24/30))*100/102,
IF(AND($P$56=2028,$X$5=TRUE),((S58*$P$24/30)+(T58*$V$24/30)+(U58*$Z$24/30))*100/102,
(S58*$P$24/30)+(T58*$V$24/30)+(U58*$Z$24/30)))</f>
        <v>0</v>
      </c>
      <c r="W58" s="678"/>
      <c r="X58" s="155" t="str">
        <f t="shared" si="7"/>
        <v/>
      </c>
      <c r="Y58" s="156">
        <f t="shared" si="8"/>
        <v>0</v>
      </c>
      <c r="Z58" s="155">
        <f t="shared" ref="Z58:Z68" si="26">IF(V58=0,0,IF(AND($P$29="ja",$X$6=TRUE),(AVERAGE($X$63:$X$68))/12*COUNTIFS($V$57:$W$68,"&gt;0"),IF(AND($X$6=TRUE,$P$29="nein"),(AVERAGE($X$57:$X$68)/12)*COUNTIFS($V$57:$W$68,"&gt;0"),IF(AND(OR($X$6="",$X$6=FALSE),$P$29="ja"),(AVERAGE($X$63:$X$68))/12*COUNTIFS($V$57:$W$68,"&gt;0"),0)))/COUNTIFS($V$57:$W$68,"&gt;0"))</f>
        <v>0</v>
      </c>
      <c r="AA58" s="156" t="e">
        <f t="shared" si="9"/>
        <v>#N/A</v>
      </c>
      <c r="AB58" s="156" t="e">
        <f t="shared" si="10"/>
        <v>#N/A</v>
      </c>
      <c r="AC58" s="156">
        <f t="shared" si="11"/>
        <v>0</v>
      </c>
      <c r="AD58" s="156" t="e">
        <f t="shared" ref="AD58:AD68" si="27">SUM(V58,Z58,AA58,AB58,AC58+Y58)</f>
        <v>#N/A</v>
      </c>
      <c r="AE58" s="158"/>
      <c r="AF58" s="667" t="s">
        <v>13</v>
      </c>
      <c r="AG58" s="668"/>
      <c r="AH58" s="152">
        <f>EOMONTH(CONCATENATE("01.","01.",$AF$56),1)</f>
        <v>790</v>
      </c>
      <c r="AI58" s="153">
        <f t="shared" si="12"/>
        <v>0</v>
      </c>
      <c r="AJ58" s="153">
        <f t="shared" si="13"/>
        <v>0</v>
      </c>
      <c r="AK58" s="153">
        <f t="shared" si="14"/>
        <v>0</v>
      </c>
      <c r="AL58" s="677">
        <f t="shared" si="15"/>
        <v>0</v>
      </c>
      <c r="AM58" s="678"/>
      <c r="AN58" s="155" t="str">
        <f t="shared" si="16"/>
        <v/>
      </c>
      <c r="AO58" s="156">
        <f t="shared" si="17"/>
        <v>0</v>
      </c>
      <c r="AP58" s="155">
        <f t="shared" ref="AP58:AP68" si="28">IF(AL58=0,0,IF(AND($AB$29="ja",$X$6=TRUE),(AVERAGE($AN$63:$AN$68))/12*COUNTIFS($AL$57:$AM$68,"&gt;0"),IF(AND($X$6=TRUE,$AB$29="nein"),(AVERAGE($AN$57:$AN$68)/12)*COUNTIFS($AL$57:$AM$68,"&gt;0"),IF(AND(OR($X$6="",$X$6=FALSE),$AB$29="ja"),(AVERAGE($AN$63:$AN$68))/12*COUNTIFS($AL$57:$AM$68,"&gt;0"),0)))/COUNTIFS($AL$57:$AM$68,"&gt;0"))</f>
        <v>0</v>
      </c>
      <c r="AQ58" s="156" t="e">
        <f t="shared" si="18"/>
        <v>#N/A</v>
      </c>
      <c r="AR58" s="156" t="e">
        <f t="shared" si="19"/>
        <v>#N/A</v>
      </c>
      <c r="AS58" s="156">
        <f t="shared" si="20"/>
        <v>0</v>
      </c>
      <c r="AT58" s="156" t="e">
        <f t="shared" ref="AT58:AT68" si="29">SUM(AL58,AP58,AQ58,AR58,AS58+AO58)</f>
        <v>#N/A</v>
      </c>
    </row>
    <row r="59" spans="2:46" x14ac:dyDescent="0.35">
      <c r="B59" s="151" t="s">
        <v>14</v>
      </c>
      <c r="C59" s="152">
        <f>EOMONTH(CONCATENATE("01.","01.",$B$56),2)</f>
        <v>91</v>
      </c>
      <c r="D59" s="153" t="e">
        <f t="shared" si="0"/>
        <v>#VALUE!</v>
      </c>
      <c r="E59" s="153" t="e">
        <f t="shared" si="1"/>
        <v>#VALUE!</v>
      </c>
      <c r="F59" s="153">
        <f t="shared" si="21"/>
        <v>0</v>
      </c>
      <c r="G59" s="154" t="e">
        <f>IF($B$56=2026,((D59*$J$24/30)+(E59*$L$24/30)+(F59*$N$24/30))*100/102.8,
IF(AND($B$56=2028,$X$5=TRUE),((D59*$J$24/30)+(E59*$L$24/30)+(F59*$N$24/30))*100/102,
(D59*$J$24/30)+(E59*$L$24/30)+(F59*$N$24/30)))</f>
        <v>#VALUE!</v>
      </c>
      <c r="H59" s="155" t="e">
        <f t="shared" si="2"/>
        <v>#VALUE!</v>
      </c>
      <c r="I59" s="156" t="e">
        <f>IF(AND($X$9=TRUE,G59&gt;0,$B$56&lt;&gt;2026),(MZJahr1*$O$10),0)</f>
        <v>#VALUE!</v>
      </c>
      <c r="J59" s="155" t="e">
        <f t="shared" si="22"/>
        <v>#VALUE!</v>
      </c>
      <c r="K59" s="156" t="e">
        <f t="shared" si="3"/>
        <v>#VALUE!</v>
      </c>
      <c r="L59" s="156" t="e">
        <f t="shared" si="4"/>
        <v>#N/A</v>
      </c>
      <c r="M59" s="156" t="e">
        <f t="shared" si="5"/>
        <v>#VALUE!</v>
      </c>
      <c r="N59" s="156" t="e">
        <f t="shared" si="23"/>
        <v>#VALUE!</v>
      </c>
      <c r="O59" s="157"/>
      <c r="P59" s="667" t="s">
        <v>14</v>
      </c>
      <c r="Q59" s="668"/>
      <c r="R59" s="152">
        <f>EOMONTH(CONCATENATE("01.","01.",$P$56),2)</f>
        <v>456</v>
      </c>
      <c r="S59" s="153">
        <f t="shared" si="24"/>
        <v>0</v>
      </c>
      <c r="T59" s="153">
        <f t="shared" si="25"/>
        <v>0</v>
      </c>
      <c r="U59" s="153">
        <f t="shared" si="6"/>
        <v>0</v>
      </c>
      <c r="V59" s="677">
        <f>IF(AND($P$56=2028,$X$5=TRUE),((S59*$P$24/30)+(T59*$V$24/30)+(U59*$Z$24/30))*100/102,
(S59*$P$24/30)+(T59*$V$24/30)+(U59*$Z$24/30))</f>
        <v>0</v>
      </c>
      <c r="W59" s="678"/>
      <c r="X59" s="155" t="str">
        <f t="shared" si="7"/>
        <v/>
      </c>
      <c r="Y59" s="156">
        <f t="shared" si="8"/>
        <v>0</v>
      </c>
      <c r="Z59" s="155">
        <f t="shared" si="26"/>
        <v>0</v>
      </c>
      <c r="AA59" s="156" t="e">
        <f t="shared" si="9"/>
        <v>#N/A</v>
      </c>
      <c r="AB59" s="156" t="e">
        <f t="shared" si="10"/>
        <v>#N/A</v>
      </c>
      <c r="AC59" s="156">
        <f t="shared" si="11"/>
        <v>0</v>
      </c>
      <c r="AD59" s="156" t="e">
        <f t="shared" si="27"/>
        <v>#N/A</v>
      </c>
      <c r="AE59" s="158"/>
      <c r="AF59" s="667" t="s">
        <v>14</v>
      </c>
      <c r="AG59" s="668"/>
      <c r="AH59" s="152">
        <f>EOMONTH(CONCATENATE("01.","01.",$AF$56),2)</f>
        <v>821</v>
      </c>
      <c r="AI59" s="153">
        <f t="shared" si="12"/>
        <v>0</v>
      </c>
      <c r="AJ59" s="153">
        <f t="shared" si="13"/>
        <v>0</v>
      </c>
      <c r="AK59" s="153">
        <f t="shared" si="14"/>
        <v>0</v>
      </c>
      <c r="AL59" s="677">
        <f t="shared" si="15"/>
        <v>0</v>
      </c>
      <c r="AM59" s="678"/>
      <c r="AN59" s="155" t="str">
        <f t="shared" si="16"/>
        <v/>
      </c>
      <c r="AO59" s="156">
        <f t="shared" si="17"/>
        <v>0</v>
      </c>
      <c r="AP59" s="155">
        <f t="shared" si="28"/>
        <v>0</v>
      </c>
      <c r="AQ59" s="156" t="e">
        <f t="shared" si="18"/>
        <v>#N/A</v>
      </c>
      <c r="AR59" s="156" t="e">
        <f t="shared" si="19"/>
        <v>#N/A</v>
      </c>
      <c r="AS59" s="156">
        <f t="shared" si="20"/>
        <v>0</v>
      </c>
      <c r="AT59" s="156" t="e">
        <f t="shared" si="29"/>
        <v>#N/A</v>
      </c>
    </row>
    <row r="60" spans="2:46" x14ac:dyDescent="0.35">
      <c r="B60" s="151" t="s">
        <v>15</v>
      </c>
      <c r="C60" s="152">
        <f>EOMONTH(CONCATENATE("01.","01.",$B$56),3)</f>
        <v>121</v>
      </c>
      <c r="D60" s="153" t="e">
        <f t="shared" si="0"/>
        <v>#VALUE!</v>
      </c>
      <c r="E60" s="153" t="e">
        <f t="shared" si="1"/>
        <v>#VALUE!</v>
      </c>
      <c r="F60" s="153">
        <f t="shared" si="21"/>
        <v>0</v>
      </c>
      <c r="G60" s="154" t="e">
        <f>IF(AND($B$56=2028,$X$5=TRUE),((D60*$J$24/30)+(E60*$L$24/30)+(F60*$N$24/30))*100/102,
(D60*$J$24/30)+(E60*$L$24/30)+(F60*$N$24/30))</f>
        <v>#VALUE!</v>
      </c>
      <c r="H60" s="155" t="e">
        <f t="shared" si="2"/>
        <v>#VALUE!</v>
      </c>
      <c r="I60" s="156" t="e">
        <f t="shared" ref="I60:I68" si="30">IF(AND($X$9=TRUE,G60&gt;0),(MZJahr1*$O$10),0)</f>
        <v>#VALUE!</v>
      </c>
      <c r="J60" s="155" t="e">
        <f t="shared" si="22"/>
        <v>#VALUE!</v>
      </c>
      <c r="K60" s="156" t="e">
        <f t="shared" si="3"/>
        <v>#VALUE!</v>
      </c>
      <c r="L60" s="156" t="e">
        <f t="shared" si="4"/>
        <v>#N/A</v>
      </c>
      <c r="M60" s="156" t="e">
        <f t="shared" si="5"/>
        <v>#VALUE!</v>
      </c>
      <c r="N60" s="156" t="e">
        <f t="shared" si="23"/>
        <v>#VALUE!</v>
      </c>
      <c r="O60" s="157"/>
      <c r="P60" s="667" t="s">
        <v>15</v>
      </c>
      <c r="Q60" s="668"/>
      <c r="R60" s="152">
        <f>EOMONTH(CONCATENATE("01.","01.",$P$56),3)</f>
        <v>486</v>
      </c>
      <c r="S60" s="153">
        <f t="shared" si="24"/>
        <v>0</v>
      </c>
      <c r="T60" s="153">
        <f t="shared" si="25"/>
        <v>0</v>
      </c>
      <c r="U60" s="153">
        <f t="shared" si="6"/>
        <v>0</v>
      </c>
      <c r="V60" s="677">
        <f>IF(AND($P$56=2028,$X$5=TRUE),((S60*$P$24/30)+(T60*$V$24/30)+(U60*$Z$24/30))*100/102,
(S60*$P$24/30)+(T60*$V$24/30)+(U60*$Z$24/30))</f>
        <v>0</v>
      </c>
      <c r="W60" s="678"/>
      <c r="X60" s="155" t="str">
        <f t="shared" si="7"/>
        <v/>
      </c>
      <c r="Y60" s="156">
        <f t="shared" si="8"/>
        <v>0</v>
      </c>
      <c r="Z60" s="155">
        <f t="shared" si="26"/>
        <v>0</v>
      </c>
      <c r="AA60" s="156" t="e">
        <f t="shared" si="9"/>
        <v>#N/A</v>
      </c>
      <c r="AB60" s="156" t="e">
        <f t="shared" si="10"/>
        <v>#N/A</v>
      </c>
      <c r="AC60" s="156">
        <f t="shared" si="11"/>
        <v>0</v>
      </c>
      <c r="AD60" s="156" t="e">
        <f t="shared" si="27"/>
        <v>#N/A</v>
      </c>
      <c r="AE60" s="158"/>
      <c r="AF60" s="667" t="s">
        <v>15</v>
      </c>
      <c r="AG60" s="668"/>
      <c r="AH60" s="152">
        <f>EOMONTH(CONCATENATE("01.","01.",$AF$56),3)</f>
        <v>851</v>
      </c>
      <c r="AI60" s="153">
        <f t="shared" si="12"/>
        <v>0</v>
      </c>
      <c r="AJ60" s="153">
        <f t="shared" si="13"/>
        <v>0</v>
      </c>
      <c r="AK60" s="153">
        <f t="shared" si="14"/>
        <v>0</v>
      </c>
      <c r="AL60" s="677">
        <f t="shared" si="15"/>
        <v>0</v>
      </c>
      <c r="AM60" s="678"/>
      <c r="AN60" s="155" t="str">
        <f t="shared" si="16"/>
        <v/>
      </c>
      <c r="AO60" s="156">
        <f t="shared" si="17"/>
        <v>0</v>
      </c>
      <c r="AP60" s="155">
        <f t="shared" si="28"/>
        <v>0</v>
      </c>
      <c r="AQ60" s="156" t="e">
        <f t="shared" si="18"/>
        <v>#N/A</v>
      </c>
      <c r="AR60" s="156" t="e">
        <f t="shared" si="19"/>
        <v>#N/A</v>
      </c>
      <c r="AS60" s="156">
        <f t="shared" si="20"/>
        <v>0</v>
      </c>
      <c r="AT60" s="156" t="e">
        <f t="shared" si="29"/>
        <v>#N/A</v>
      </c>
    </row>
    <row r="61" spans="2:46" x14ac:dyDescent="0.35">
      <c r="B61" s="151" t="s">
        <v>16</v>
      </c>
      <c r="C61" s="152">
        <f>EOMONTH(CONCATENATE("01.","01.",$B$56),4)</f>
        <v>152</v>
      </c>
      <c r="D61" s="153" t="e">
        <f t="shared" si="0"/>
        <v>#VALUE!</v>
      </c>
      <c r="E61" s="153" t="e">
        <f t="shared" si="1"/>
        <v>#VALUE!</v>
      </c>
      <c r="F61" s="153">
        <f t="shared" si="21"/>
        <v>0</v>
      </c>
      <c r="G61" s="154" t="e">
        <f>IF(AND($B$56=2028,$X$5=TRUE),((D61*$J$24/30)+(E61*$L$24/30)+(F61*$N$24/30))*100/102,
(D61*$J$24/30)+(E61*$L$24/30)+(F61*$N$24/30))</f>
        <v>#VALUE!</v>
      </c>
      <c r="H61" s="155" t="e">
        <f t="shared" si="2"/>
        <v>#VALUE!</v>
      </c>
      <c r="I61" s="156" t="e">
        <f t="shared" si="30"/>
        <v>#VALUE!</v>
      </c>
      <c r="J61" s="155" t="e">
        <f t="shared" si="22"/>
        <v>#VALUE!</v>
      </c>
      <c r="K61" s="156" t="e">
        <f t="shared" si="3"/>
        <v>#VALUE!</v>
      </c>
      <c r="L61" s="156" t="e">
        <f t="shared" si="4"/>
        <v>#N/A</v>
      </c>
      <c r="M61" s="156" t="e">
        <f t="shared" si="5"/>
        <v>#VALUE!</v>
      </c>
      <c r="N61" s="156" t="e">
        <f t="shared" si="23"/>
        <v>#VALUE!</v>
      </c>
      <c r="O61" s="157"/>
      <c r="P61" s="667" t="s">
        <v>16</v>
      </c>
      <c r="Q61" s="668"/>
      <c r="R61" s="152">
        <f>EOMONTH(CONCATENATE("01.","01.",$P$56),4)</f>
        <v>517</v>
      </c>
      <c r="S61" s="153">
        <f t="shared" si="24"/>
        <v>0</v>
      </c>
      <c r="T61" s="153">
        <f t="shared" si="25"/>
        <v>0</v>
      </c>
      <c r="U61" s="153">
        <f t="shared" si="6"/>
        <v>0</v>
      </c>
      <c r="V61" s="677">
        <f>IF(AND($P$56=2028,$X$5=TRUE),((S61*$P$24/30)+(T61*$V$24/30)+(U61*$Z$24/30))*100/102,
(S61*$P$24/30)+(T61*$V$24/30)+(U61*$Z$24/30))</f>
        <v>0</v>
      </c>
      <c r="W61" s="678"/>
      <c r="X61" s="155" t="str">
        <f t="shared" si="7"/>
        <v/>
      </c>
      <c r="Y61" s="156">
        <f t="shared" si="8"/>
        <v>0</v>
      </c>
      <c r="Z61" s="155">
        <f t="shared" si="26"/>
        <v>0</v>
      </c>
      <c r="AA61" s="156" t="e">
        <f t="shared" si="9"/>
        <v>#N/A</v>
      </c>
      <c r="AB61" s="156" t="e">
        <f t="shared" si="10"/>
        <v>#N/A</v>
      </c>
      <c r="AC61" s="156">
        <f t="shared" si="11"/>
        <v>0</v>
      </c>
      <c r="AD61" s="156" t="e">
        <f t="shared" si="27"/>
        <v>#N/A</v>
      </c>
      <c r="AE61" s="158"/>
      <c r="AF61" s="667" t="s">
        <v>16</v>
      </c>
      <c r="AG61" s="668"/>
      <c r="AH61" s="152">
        <f>EOMONTH(CONCATENATE("01.","01.",$AF$56),4)</f>
        <v>882</v>
      </c>
      <c r="AI61" s="153">
        <f t="shared" si="12"/>
        <v>0</v>
      </c>
      <c r="AJ61" s="153">
        <f t="shared" si="13"/>
        <v>0</v>
      </c>
      <c r="AK61" s="153">
        <f t="shared" si="14"/>
        <v>0</v>
      </c>
      <c r="AL61" s="677">
        <f t="shared" si="15"/>
        <v>0</v>
      </c>
      <c r="AM61" s="678"/>
      <c r="AN61" s="155" t="str">
        <f t="shared" si="16"/>
        <v/>
      </c>
      <c r="AO61" s="156">
        <f t="shared" si="17"/>
        <v>0</v>
      </c>
      <c r="AP61" s="155">
        <f t="shared" si="28"/>
        <v>0</v>
      </c>
      <c r="AQ61" s="156" t="e">
        <f t="shared" si="18"/>
        <v>#N/A</v>
      </c>
      <c r="AR61" s="156" t="e">
        <f t="shared" si="19"/>
        <v>#N/A</v>
      </c>
      <c r="AS61" s="156">
        <f t="shared" si="20"/>
        <v>0</v>
      </c>
      <c r="AT61" s="156" t="e">
        <f t="shared" si="29"/>
        <v>#N/A</v>
      </c>
    </row>
    <row r="62" spans="2:46" x14ac:dyDescent="0.35">
      <c r="B62" s="151" t="s">
        <v>17</v>
      </c>
      <c r="C62" s="152">
        <f>EOMONTH(CONCATENATE("01.","01.",$B$56),5)</f>
        <v>182</v>
      </c>
      <c r="D62" s="153" t="e">
        <f t="shared" si="0"/>
        <v>#VALUE!</v>
      </c>
      <c r="E62" s="153" t="e">
        <f t="shared" si="1"/>
        <v>#VALUE!</v>
      </c>
      <c r="F62" s="153">
        <f t="shared" si="21"/>
        <v>0</v>
      </c>
      <c r="G62" s="154" t="e">
        <f>IF(AND($B$56=2028,$X$5=TRUE),((D62*$J$24/30)+(E62*$L$24/30)+(F62*$N$24/30))*100/102,
(D62*$J$24/30)+(E62*$L$24/30)+(F62*$N$24/30))</f>
        <v>#VALUE!</v>
      </c>
      <c r="H62" s="155" t="e">
        <f t="shared" si="2"/>
        <v>#VALUE!</v>
      </c>
      <c r="I62" s="156" t="e">
        <f t="shared" si="30"/>
        <v>#VALUE!</v>
      </c>
      <c r="J62" s="155" t="e">
        <f t="shared" si="22"/>
        <v>#VALUE!</v>
      </c>
      <c r="K62" s="156" t="e">
        <f t="shared" si="3"/>
        <v>#VALUE!</v>
      </c>
      <c r="L62" s="156" t="e">
        <f t="shared" si="4"/>
        <v>#N/A</v>
      </c>
      <c r="M62" s="156" t="e">
        <f t="shared" si="5"/>
        <v>#VALUE!</v>
      </c>
      <c r="N62" s="156" t="e">
        <f t="shared" si="23"/>
        <v>#VALUE!</v>
      </c>
      <c r="O62" s="157"/>
      <c r="P62" s="667" t="s">
        <v>17</v>
      </c>
      <c r="Q62" s="668"/>
      <c r="R62" s="152">
        <f>EOMONTH(CONCATENATE("01.","01.",$P$56),5)</f>
        <v>547</v>
      </c>
      <c r="S62" s="153">
        <f t="shared" si="24"/>
        <v>0</v>
      </c>
      <c r="T62" s="153">
        <f t="shared" si="25"/>
        <v>0</v>
      </c>
      <c r="U62" s="153">
        <f t="shared" si="6"/>
        <v>0</v>
      </c>
      <c r="V62" s="677">
        <f>IF(AND($P$56=2028,$X$5=TRUE),((S62*$P$24/30)+(T62*$V$24/30)+(U62*$Z$24/30))*100/102,
(S62*$P$24/30)+(T62*$V$24/30)+(U62*$Z$24/30))</f>
        <v>0</v>
      </c>
      <c r="W62" s="678"/>
      <c r="X62" s="155" t="str">
        <f t="shared" si="7"/>
        <v/>
      </c>
      <c r="Y62" s="156">
        <f t="shared" si="8"/>
        <v>0</v>
      </c>
      <c r="Z62" s="155">
        <f t="shared" si="26"/>
        <v>0</v>
      </c>
      <c r="AA62" s="156" t="e">
        <f t="shared" si="9"/>
        <v>#N/A</v>
      </c>
      <c r="AB62" s="156" t="e">
        <f t="shared" si="10"/>
        <v>#N/A</v>
      </c>
      <c r="AC62" s="156">
        <f t="shared" si="11"/>
        <v>0</v>
      </c>
      <c r="AD62" s="156" t="e">
        <f t="shared" si="27"/>
        <v>#N/A</v>
      </c>
      <c r="AE62" s="158"/>
      <c r="AF62" s="667" t="s">
        <v>17</v>
      </c>
      <c r="AG62" s="668"/>
      <c r="AH62" s="152">
        <f>EOMONTH(CONCATENATE("01.","01.",$AF$56),5)</f>
        <v>912</v>
      </c>
      <c r="AI62" s="153">
        <f t="shared" si="12"/>
        <v>0</v>
      </c>
      <c r="AJ62" s="153">
        <f t="shared" si="13"/>
        <v>0</v>
      </c>
      <c r="AK62" s="153">
        <f t="shared" si="14"/>
        <v>0</v>
      </c>
      <c r="AL62" s="677">
        <f t="shared" si="15"/>
        <v>0</v>
      </c>
      <c r="AM62" s="678"/>
      <c r="AN62" s="155" t="str">
        <f t="shared" si="16"/>
        <v/>
      </c>
      <c r="AO62" s="156">
        <f t="shared" si="17"/>
        <v>0</v>
      </c>
      <c r="AP62" s="155">
        <f t="shared" si="28"/>
        <v>0</v>
      </c>
      <c r="AQ62" s="156" t="e">
        <f t="shared" si="18"/>
        <v>#N/A</v>
      </c>
      <c r="AR62" s="156" t="e">
        <f t="shared" si="19"/>
        <v>#N/A</v>
      </c>
      <c r="AS62" s="156">
        <f t="shared" si="20"/>
        <v>0</v>
      </c>
      <c r="AT62" s="156" t="e">
        <f t="shared" si="29"/>
        <v>#N/A</v>
      </c>
    </row>
    <row r="63" spans="2:46" x14ac:dyDescent="0.35">
      <c r="B63" s="151" t="s">
        <v>18</v>
      </c>
      <c r="C63" s="152">
        <f>EOMONTH(CONCATENATE("01.","01.",$B$56),6)</f>
        <v>213</v>
      </c>
      <c r="D63" s="153" t="e">
        <f t="shared" si="0"/>
        <v>#VALUE!</v>
      </c>
      <c r="E63" s="153" t="e">
        <f t="shared" si="1"/>
        <v>#VALUE!</v>
      </c>
      <c r="F63" s="153">
        <f t="shared" si="21"/>
        <v>0</v>
      </c>
      <c r="G63" s="154" t="e">
        <f t="shared" ref="G63:G68" si="31">(D63*$J$24/30)+(E63*$L$24/30)+(F63*$N$24/30)</f>
        <v>#VALUE!</v>
      </c>
      <c r="H63" s="155" t="e">
        <f t="shared" si="2"/>
        <v>#VALUE!</v>
      </c>
      <c r="I63" s="156" t="e">
        <f t="shared" si="30"/>
        <v>#VALUE!</v>
      </c>
      <c r="J63" s="155" t="e">
        <f t="shared" si="22"/>
        <v>#VALUE!</v>
      </c>
      <c r="K63" s="156" t="e">
        <f t="shared" si="3"/>
        <v>#VALUE!</v>
      </c>
      <c r="L63" s="156" t="e">
        <f t="shared" si="4"/>
        <v>#N/A</v>
      </c>
      <c r="M63" s="156" t="e">
        <f t="shared" si="5"/>
        <v>#VALUE!</v>
      </c>
      <c r="N63" s="156" t="e">
        <f t="shared" si="23"/>
        <v>#VALUE!</v>
      </c>
      <c r="O63" s="157"/>
      <c r="P63" s="667" t="s">
        <v>18</v>
      </c>
      <c r="Q63" s="668"/>
      <c r="R63" s="152">
        <f>EOMONTH(CONCATENATE("01.","01.",$P$56),6)</f>
        <v>578</v>
      </c>
      <c r="S63" s="153">
        <f t="shared" si="24"/>
        <v>0</v>
      </c>
      <c r="T63" s="153">
        <f t="shared" si="25"/>
        <v>0</v>
      </c>
      <c r="U63" s="153">
        <f t="shared" si="6"/>
        <v>0</v>
      </c>
      <c r="V63" s="677">
        <f t="shared" ref="V63:V66" si="32">(S63*$P$24/30)+(T63*$V$24/30)+(U63*$Z$24/30)</f>
        <v>0</v>
      </c>
      <c r="W63" s="678"/>
      <c r="X63" s="155" t="str">
        <f t="shared" si="7"/>
        <v/>
      </c>
      <c r="Y63" s="156">
        <f t="shared" si="8"/>
        <v>0</v>
      </c>
      <c r="Z63" s="155">
        <f t="shared" si="26"/>
        <v>0</v>
      </c>
      <c r="AA63" s="156" t="e">
        <f t="shared" si="9"/>
        <v>#N/A</v>
      </c>
      <c r="AB63" s="156" t="e">
        <f t="shared" si="10"/>
        <v>#N/A</v>
      </c>
      <c r="AC63" s="156">
        <f t="shared" si="11"/>
        <v>0</v>
      </c>
      <c r="AD63" s="156" t="e">
        <f t="shared" si="27"/>
        <v>#N/A</v>
      </c>
      <c r="AE63" s="158"/>
      <c r="AF63" s="667" t="s">
        <v>18</v>
      </c>
      <c r="AG63" s="668"/>
      <c r="AH63" s="152">
        <f>EOMONTH(CONCATENATE("01.","01.",$AF$56),6)</f>
        <v>943</v>
      </c>
      <c r="AI63" s="153">
        <f t="shared" si="12"/>
        <v>0</v>
      </c>
      <c r="AJ63" s="153">
        <f t="shared" si="13"/>
        <v>0</v>
      </c>
      <c r="AK63" s="153">
        <f t="shared" si="14"/>
        <v>0</v>
      </c>
      <c r="AL63" s="677">
        <f t="shared" ref="AL63:AL68" si="33">(AI63*$AB$24/30)+(AJ63*$AD$24/30)+(AK63*$AF$24/30)</f>
        <v>0</v>
      </c>
      <c r="AM63" s="678"/>
      <c r="AN63" s="155" t="str">
        <f t="shared" si="16"/>
        <v/>
      </c>
      <c r="AO63" s="156">
        <f t="shared" si="17"/>
        <v>0</v>
      </c>
      <c r="AP63" s="155">
        <f t="shared" si="28"/>
        <v>0</v>
      </c>
      <c r="AQ63" s="156" t="e">
        <f t="shared" si="18"/>
        <v>#N/A</v>
      </c>
      <c r="AR63" s="156" t="e">
        <f t="shared" si="19"/>
        <v>#N/A</v>
      </c>
      <c r="AS63" s="156">
        <f t="shared" si="20"/>
        <v>0</v>
      </c>
      <c r="AT63" s="156" t="e">
        <f t="shared" si="29"/>
        <v>#N/A</v>
      </c>
    </row>
    <row r="64" spans="2:46" x14ac:dyDescent="0.35">
      <c r="B64" s="151" t="s">
        <v>19</v>
      </c>
      <c r="C64" s="152">
        <f>EOMONTH(CONCATENATE("01.","01.",$B$56),7)</f>
        <v>244</v>
      </c>
      <c r="D64" s="153" t="e">
        <f t="shared" si="0"/>
        <v>#VALUE!</v>
      </c>
      <c r="E64" s="153" t="e">
        <f t="shared" si="1"/>
        <v>#VALUE!</v>
      </c>
      <c r="F64" s="153">
        <f t="shared" si="21"/>
        <v>0</v>
      </c>
      <c r="G64" s="154" t="e">
        <f t="shared" si="31"/>
        <v>#VALUE!</v>
      </c>
      <c r="H64" s="155" t="e">
        <f t="shared" si="2"/>
        <v>#VALUE!</v>
      </c>
      <c r="I64" s="156" t="e">
        <f t="shared" si="30"/>
        <v>#VALUE!</v>
      </c>
      <c r="J64" s="155" t="e">
        <f t="shared" si="22"/>
        <v>#VALUE!</v>
      </c>
      <c r="K64" s="156" t="e">
        <f t="shared" si="3"/>
        <v>#VALUE!</v>
      </c>
      <c r="L64" s="156" t="e">
        <f t="shared" si="4"/>
        <v>#N/A</v>
      </c>
      <c r="M64" s="156" t="e">
        <f t="shared" si="5"/>
        <v>#VALUE!</v>
      </c>
      <c r="N64" s="156" t="e">
        <f t="shared" si="23"/>
        <v>#VALUE!</v>
      </c>
      <c r="O64" s="157"/>
      <c r="P64" s="667" t="s">
        <v>19</v>
      </c>
      <c r="Q64" s="668"/>
      <c r="R64" s="152">
        <f>EOMONTH(CONCATENATE("01.","01.",$P$56),7)</f>
        <v>609</v>
      </c>
      <c r="S64" s="153">
        <f t="shared" si="24"/>
        <v>0</v>
      </c>
      <c r="T64" s="153">
        <f t="shared" si="25"/>
        <v>0</v>
      </c>
      <c r="U64" s="153">
        <f t="shared" si="6"/>
        <v>0</v>
      </c>
      <c r="V64" s="677">
        <f t="shared" si="32"/>
        <v>0</v>
      </c>
      <c r="W64" s="678"/>
      <c r="X64" s="155" t="str">
        <f t="shared" si="7"/>
        <v/>
      </c>
      <c r="Y64" s="156">
        <f t="shared" si="8"/>
        <v>0</v>
      </c>
      <c r="Z64" s="155">
        <f t="shared" si="26"/>
        <v>0</v>
      </c>
      <c r="AA64" s="156" t="e">
        <f t="shared" si="9"/>
        <v>#N/A</v>
      </c>
      <c r="AB64" s="156" t="e">
        <f t="shared" si="10"/>
        <v>#N/A</v>
      </c>
      <c r="AC64" s="156">
        <f t="shared" si="11"/>
        <v>0</v>
      </c>
      <c r="AD64" s="156" t="e">
        <f t="shared" si="27"/>
        <v>#N/A</v>
      </c>
      <c r="AE64" s="158"/>
      <c r="AF64" s="667" t="s">
        <v>19</v>
      </c>
      <c r="AG64" s="668"/>
      <c r="AH64" s="152">
        <f>EOMONTH(CONCATENATE("01.","01.",$AF$56),7)</f>
        <v>974</v>
      </c>
      <c r="AI64" s="153">
        <f t="shared" si="12"/>
        <v>0</v>
      </c>
      <c r="AJ64" s="153">
        <f t="shared" si="13"/>
        <v>0</v>
      </c>
      <c r="AK64" s="153">
        <f t="shared" si="14"/>
        <v>0</v>
      </c>
      <c r="AL64" s="677">
        <f t="shared" si="33"/>
        <v>0</v>
      </c>
      <c r="AM64" s="678"/>
      <c r="AN64" s="155" t="str">
        <f t="shared" si="16"/>
        <v/>
      </c>
      <c r="AO64" s="156">
        <f t="shared" si="17"/>
        <v>0</v>
      </c>
      <c r="AP64" s="155">
        <f t="shared" si="28"/>
        <v>0</v>
      </c>
      <c r="AQ64" s="156" t="e">
        <f t="shared" si="18"/>
        <v>#N/A</v>
      </c>
      <c r="AR64" s="156" t="e">
        <f t="shared" si="19"/>
        <v>#N/A</v>
      </c>
      <c r="AS64" s="156">
        <f t="shared" si="20"/>
        <v>0</v>
      </c>
      <c r="AT64" s="156" t="e">
        <f t="shared" si="29"/>
        <v>#N/A</v>
      </c>
    </row>
    <row r="65" spans="2:47" x14ac:dyDescent="0.35">
      <c r="B65" s="151" t="s">
        <v>20</v>
      </c>
      <c r="C65" s="152">
        <f>EOMONTH(CONCATENATE("01.","01.",$B$56),8)</f>
        <v>274</v>
      </c>
      <c r="D65" s="153" t="e">
        <f t="shared" si="0"/>
        <v>#VALUE!</v>
      </c>
      <c r="E65" s="153" t="e">
        <f t="shared" si="1"/>
        <v>#VALUE!</v>
      </c>
      <c r="F65" s="153">
        <f t="shared" si="21"/>
        <v>0</v>
      </c>
      <c r="G65" s="154" t="e">
        <f t="shared" si="31"/>
        <v>#VALUE!</v>
      </c>
      <c r="H65" s="155" t="e">
        <f t="shared" si="2"/>
        <v>#VALUE!</v>
      </c>
      <c r="I65" s="156" t="e">
        <f t="shared" si="30"/>
        <v>#VALUE!</v>
      </c>
      <c r="J65" s="155" t="e">
        <f t="shared" si="22"/>
        <v>#VALUE!</v>
      </c>
      <c r="K65" s="156" t="e">
        <f t="shared" si="3"/>
        <v>#VALUE!</v>
      </c>
      <c r="L65" s="156" t="e">
        <f t="shared" si="4"/>
        <v>#N/A</v>
      </c>
      <c r="M65" s="156" t="e">
        <f t="shared" si="5"/>
        <v>#VALUE!</v>
      </c>
      <c r="N65" s="156" t="e">
        <f t="shared" si="23"/>
        <v>#VALUE!</v>
      </c>
      <c r="O65" s="157"/>
      <c r="P65" s="667" t="s">
        <v>20</v>
      </c>
      <c r="Q65" s="668"/>
      <c r="R65" s="152">
        <f>EOMONTH(CONCATENATE("01.","01.",$P$56),8)</f>
        <v>639</v>
      </c>
      <c r="S65" s="153">
        <f t="shared" si="24"/>
        <v>0</v>
      </c>
      <c r="T65" s="153">
        <f t="shared" si="25"/>
        <v>0</v>
      </c>
      <c r="U65" s="153">
        <f t="shared" si="6"/>
        <v>0</v>
      </c>
      <c r="V65" s="677">
        <f t="shared" si="32"/>
        <v>0</v>
      </c>
      <c r="W65" s="678"/>
      <c r="X65" s="155" t="str">
        <f t="shared" ref="X65:X68" si="34">IF(AND(SUM(S65:U65)=30,U65&gt;0),$Z$24*$Z$28,IF(AND(SUM(S65:U65)=30,T65&gt;0),$V$24*$V$28,IF(AND(SUM(S65:U65)=30,S65&gt;0),$P$24*$P$28,"")))</f>
        <v/>
      </c>
      <c r="Y65" s="156">
        <f t="shared" si="8"/>
        <v>0</v>
      </c>
      <c r="Z65" s="155">
        <f t="shared" si="26"/>
        <v>0</v>
      </c>
      <c r="AA65" s="156" t="e">
        <f t="shared" si="9"/>
        <v>#N/A</v>
      </c>
      <c r="AB65" s="156" t="e">
        <f t="shared" si="10"/>
        <v>#N/A</v>
      </c>
      <c r="AC65" s="156">
        <f t="shared" si="11"/>
        <v>0</v>
      </c>
      <c r="AD65" s="156" t="e">
        <f t="shared" si="27"/>
        <v>#N/A</v>
      </c>
      <c r="AE65" s="158"/>
      <c r="AF65" s="667" t="s">
        <v>20</v>
      </c>
      <c r="AG65" s="668"/>
      <c r="AH65" s="152">
        <f>EOMONTH(CONCATENATE("01.","01.",$AF$56),8)</f>
        <v>1004</v>
      </c>
      <c r="AI65" s="153">
        <f t="shared" si="12"/>
        <v>0</v>
      </c>
      <c r="AJ65" s="153">
        <f t="shared" si="13"/>
        <v>0</v>
      </c>
      <c r="AK65" s="153">
        <f t="shared" si="14"/>
        <v>0</v>
      </c>
      <c r="AL65" s="677">
        <f t="shared" si="33"/>
        <v>0</v>
      </c>
      <c r="AM65" s="678"/>
      <c r="AN65" s="155" t="str">
        <f t="shared" si="16"/>
        <v/>
      </c>
      <c r="AO65" s="156">
        <f t="shared" si="17"/>
        <v>0</v>
      </c>
      <c r="AP65" s="155">
        <f t="shared" si="28"/>
        <v>0</v>
      </c>
      <c r="AQ65" s="156" t="e">
        <f t="shared" si="18"/>
        <v>#N/A</v>
      </c>
      <c r="AR65" s="156" t="e">
        <f t="shared" si="19"/>
        <v>#N/A</v>
      </c>
      <c r="AS65" s="156">
        <f t="shared" si="20"/>
        <v>0</v>
      </c>
      <c r="AT65" s="156" t="e">
        <f t="shared" si="29"/>
        <v>#N/A</v>
      </c>
    </row>
    <row r="66" spans="2:47" x14ac:dyDescent="0.35">
      <c r="B66" s="151" t="s">
        <v>21</v>
      </c>
      <c r="C66" s="152">
        <f>EOMONTH(CONCATENATE("01.","01.",$B$56),9)</f>
        <v>305</v>
      </c>
      <c r="D66" s="153" t="e">
        <f t="shared" si="0"/>
        <v>#VALUE!</v>
      </c>
      <c r="E66" s="153" t="e">
        <f t="shared" si="1"/>
        <v>#VALUE!</v>
      </c>
      <c r="F66" s="153">
        <f t="shared" si="21"/>
        <v>0</v>
      </c>
      <c r="G66" s="154" t="e">
        <f t="shared" si="31"/>
        <v>#VALUE!</v>
      </c>
      <c r="H66" s="155" t="e">
        <f t="shared" si="2"/>
        <v>#VALUE!</v>
      </c>
      <c r="I66" s="156" t="e">
        <f t="shared" si="30"/>
        <v>#VALUE!</v>
      </c>
      <c r="J66" s="155" t="e">
        <f t="shared" si="22"/>
        <v>#VALUE!</v>
      </c>
      <c r="K66" s="156" t="e">
        <f t="shared" si="3"/>
        <v>#VALUE!</v>
      </c>
      <c r="L66" s="156" t="e">
        <f t="shared" si="4"/>
        <v>#N/A</v>
      </c>
      <c r="M66" s="156" t="e">
        <f t="shared" si="5"/>
        <v>#VALUE!</v>
      </c>
      <c r="N66" s="156" t="e">
        <f t="shared" si="23"/>
        <v>#VALUE!</v>
      </c>
      <c r="O66" s="157"/>
      <c r="P66" s="667" t="s">
        <v>21</v>
      </c>
      <c r="Q66" s="668"/>
      <c r="R66" s="152">
        <f>EOMONTH(CONCATENATE("01.","01.",$P$56),9)</f>
        <v>670</v>
      </c>
      <c r="S66" s="153">
        <f t="shared" si="24"/>
        <v>0</v>
      </c>
      <c r="T66" s="153">
        <f t="shared" si="25"/>
        <v>0</v>
      </c>
      <c r="U66" s="153">
        <f t="shared" si="6"/>
        <v>0</v>
      </c>
      <c r="V66" s="677">
        <f t="shared" si="32"/>
        <v>0</v>
      </c>
      <c r="W66" s="678"/>
      <c r="X66" s="155" t="str">
        <f t="shared" si="34"/>
        <v/>
      </c>
      <c r="Y66" s="156">
        <f t="shared" si="8"/>
        <v>0</v>
      </c>
      <c r="Z66" s="155">
        <f t="shared" si="26"/>
        <v>0</v>
      </c>
      <c r="AA66" s="156" t="e">
        <f t="shared" si="9"/>
        <v>#N/A</v>
      </c>
      <c r="AB66" s="156" t="e">
        <f t="shared" si="10"/>
        <v>#N/A</v>
      </c>
      <c r="AC66" s="156">
        <f t="shared" si="11"/>
        <v>0</v>
      </c>
      <c r="AD66" s="156" t="e">
        <f t="shared" si="27"/>
        <v>#N/A</v>
      </c>
      <c r="AE66" s="158"/>
      <c r="AF66" s="667" t="s">
        <v>21</v>
      </c>
      <c r="AG66" s="668"/>
      <c r="AH66" s="152">
        <f>EOMONTH(CONCATENATE("01.","01.",$AF$56),9)</f>
        <v>1035</v>
      </c>
      <c r="AI66" s="153">
        <f t="shared" si="12"/>
        <v>0</v>
      </c>
      <c r="AJ66" s="153">
        <f t="shared" si="13"/>
        <v>0</v>
      </c>
      <c r="AK66" s="153">
        <f t="shared" si="14"/>
        <v>0</v>
      </c>
      <c r="AL66" s="677">
        <f t="shared" si="33"/>
        <v>0</v>
      </c>
      <c r="AM66" s="678"/>
      <c r="AN66" s="155" t="str">
        <f t="shared" si="16"/>
        <v/>
      </c>
      <c r="AO66" s="156">
        <f t="shared" si="17"/>
        <v>0</v>
      </c>
      <c r="AP66" s="155">
        <f t="shared" si="28"/>
        <v>0</v>
      </c>
      <c r="AQ66" s="156" t="e">
        <f t="shared" si="18"/>
        <v>#N/A</v>
      </c>
      <c r="AR66" s="156" t="e">
        <f t="shared" si="19"/>
        <v>#N/A</v>
      </c>
      <c r="AS66" s="156">
        <f t="shared" si="20"/>
        <v>0</v>
      </c>
      <c r="AT66" s="156" t="e">
        <f t="shared" si="29"/>
        <v>#N/A</v>
      </c>
    </row>
    <row r="67" spans="2:47" x14ac:dyDescent="0.35">
      <c r="B67" s="151" t="s">
        <v>22</v>
      </c>
      <c r="C67" s="152">
        <f>EOMONTH(CONCATENATE("01.","01.",$B$56),10)</f>
        <v>335</v>
      </c>
      <c r="D67" s="153" t="e">
        <f t="shared" si="0"/>
        <v>#VALUE!</v>
      </c>
      <c r="E67" s="153" t="e">
        <f t="shared" si="1"/>
        <v>#VALUE!</v>
      </c>
      <c r="F67" s="153">
        <f t="shared" si="21"/>
        <v>0</v>
      </c>
      <c r="G67" s="154" t="e">
        <f t="shared" si="31"/>
        <v>#VALUE!</v>
      </c>
      <c r="H67" s="155" t="e">
        <f t="shared" si="2"/>
        <v>#VALUE!</v>
      </c>
      <c r="I67" s="156" t="e">
        <f t="shared" si="30"/>
        <v>#VALUE!</v>
      </c>
      <c r="J67" s="155" t="e">
        <f t="shared" si="22"/>
        <v>#VALUE!</v>
      </c>
      <c r="K67" s="156" t="e">
        <f t="shared" si="3"/>
        <v>#VALUE!</v>
      </c>
      <c r="L67" s="156" t="e">
        <f t="shared" si="4"/>
        <v>#N/A</v>
      </c>
      <c r="M67" s="156" t="e">
        <f t="shared" si="5"/>
        <v>#VALUE!</v>
      </c>
      <c r="N67" s="156" t="e">
        <f t="shared" si="23"/>
        <v>#VALUE!</v>
      </c>
      <c r="O67" s="157"/>
      <c r="P67" s="667" t="s">
        <v>22</v>
      </c>
      <c r="Q67" s="668"/>
      <c r="R67" s="152">
        <f>EOMONTH(CONCATENATE("01.","01.",$P$56),10)</f>
        <v>700</v>
      </c>
      <c r="S67" s="153">
        <f t="shared" si="24"/>
        <v>0</v>
      </c>
      <c r="T67" s="153">
        <f t="shared" si="25"/>
        <v>0</v>
      </c>
      <c r="U67" s="153">
        <f t="shared" si="6"/>
        <v>0</v>
      </c>
      <c r="V67" s="677">
        <f t="shared" ref="V67:V68" si="35">(S67*$P$24/30)+(T67*$V$24/30)+(U67*$Z$24/30)</f>
        <v>0</v>
      </c>
      <c r="W67" s="678"/>
      <c r="X67" s="155" t="str">
        <f t="shared" si="34"/>
        <v/>
      </c>
      <c r="Y67" s="156">
        <f t="shared" si="8"/>
        <v>0</v>
      </c>
      <c r="Z67" s="155">
        <f t="shared" si="26"/>
        <v>0</v>
      </c>
      <c r="AA67" s="156" t="e">
        <f t="shared" si="9"/>
        <v>#N/A</v>
      </c>
      <c r="AB67" s="156" t="e">
        <f t="shared" si="10"/>
        <v>#N/A</v>
      </c>
      <c r="AC67" s="156">
        <f t="shared" si="11"/>
        <v>0</v>
      </c>
      <c r="AD67" s="156" t="e">
        <f t="shared" si="27"/>
        <v>#N/A</v>
      </c>
      <c r="AE67" s="158"/>
      <c r="AF67" s="667" t="s">
        <v>22</v>
      </c>
      <c r="AG67" s="668"/>
      <c r="AH67" s="152">
        <f>EOMONTH(CONCATENATE("01.","01.",$AF$56),10)</f>
        <v>1065</v>
      </c>
      <c r="AI67" s="153">
        <f t="shared" si="12"/>
        <v>0</v>
      </c>
      <c r="AJ67" s="153">
        <f t="shared" si="13"/>
        <v>0</v>
      </c>
      <c r="AK67" s="153">
        <f t="shared" si="14"/>
        <v>0</v>
      </c>
      <c r="AL67" s="677">
        <f t="shared" si="33"/>
        <v>0</v>
      </c>
      <c r="AM67" s="678"/>
      <c r="AN67" s="155" t="str">
        <f t="shared" si="16"/>
        <v/>
      </c>
      <c r="AO67" s="156">
        <f t="shared" si="17"/>
        <v>0</v>
      </c>
      <c r="AP67" s="155">
        <f t="shared" si="28"/>
        <v>0</v>
      </c>
      <c r="AQ67" s="156" t="e">
        <f t="shared" si="18"/>
        <v>#N/A</v>
      </c>
      <c r="AR67" s="156" t="e">
        <f t="shared" si="19"/>
        <v>#N/A</v>
      </c>
      <c r="AS67" s="156">
        <f t="shared" si="20"/>
        <v>0</v>
      </c>
      <c r="AT67" s="156" t="e">
        <f t="shared" si="29"/>
        <v>#N/A</v>
      </c>
    </row>
    <row r="68" spans="2:47" ht="16.5" thickBot="1" x14ac:dyDescent="0.4">
      <c r="B68" s="151" t="s">
        <v>23</v>
      </c>
      <c r="C68" s="152">
        <f>EOMONTH(CONCATENATE("01.","01.",$B$56),11)</f>
        <v>366</v>
      </c>
      <c r="D68" s="153" t="e">
        <f t="shared" si="0"/>
        <v>#VALUE!</v>
      </c>
      <c r="E68" s="153" t="e">
        <f t="shared" si="1"/>
        <v>#VALUE!</v>
      </c>
      <c r="F68" s="153">
        <f t="shared" si="21"/>
        <v>0</v>
      </c>
      <c r="G68" s="154" t="e">
        <f t="shared" si="31"/>
        <v>#VALUE!</v>
      </c>
      <c r="H68" s="155" t="e">
        <f t="shared" si="2"/>
        <v>#VALUE!</v>
      </c>
      <c r="I68" s="156" t="e">
        <f t="shared" si="30"/>
        <v>#VALUE!</v>
      </c>
      <c r="J68" s="155" t="e">
        <f t="shared" si="22"/>
        <v>#VALUE!</v>
      </c>
      <c r="K68" s="156" t="e">
        <f t="shared" si="3"/>
        <v>#VALUE!</v>
      </c>
      <c r="L68" s="156" t="e">
        <f t="shared" si="4"/>
        <v>#N/A</v>
      </c>
      <c r="M68" s="156" t="e">
        <f t="shared" si="5"/>
        <v>#VALUE!</v>
      </c>
      <c r="N68" s="156" t="e">
        <f t="shared" si="23"/>
        <v>#VALUE!</v>
      </c>
      <c r="O68" s="157"/>
      <c r="P68" s="667" t="s">
        <v>23</v>
      </c>
      <c r="Q68" s="668"/>
      <c r="R68" s="152">
        <f>EOMONTH(CONCATENATE("01.","01.",$P$56),11)</f>
        <v>731</v>
      </c>
      <c r="S68" s="153">
        <f t="shared" si="24"/>
        <v>0</v>
      </c>
      <c r="T68" s="153">
        <f t="shared" si="25"/>
        <v>0</v>
      </c>
      <c r="U68" s="153">
        <f t="shared" si="6"/>
        <v>0</v>
      </c>
      <c r="V68" s="677">
        <f t="shared" si="35"/>
        <v>0</v>
      </c>
      <c r="W68" s="678"/>
      <c r="X68" s="155" t="str">
        <f t="shared" si="34"/>
        <v/>
      </c>
      <c r="Y68" s="156">
        <f t="shared" si="8"/>
        <v>0</v>
      </c>
      <c r="Z68" s="155">
        <f t="shared" si="26"/>
        <v>0</v>
      </c>
      <c r="AA68" s="156" t="e">
        <f t="shared" si="9"/>
        <v>#N/A</v>
      </c>
      <c r="AB68" s="156" t="e">
        <f t="shared" si="10"/>
        <v>#N/A</v>
      </c>
      <c r="AC68" s="156">
        <f t="shared" si="11"/>
        <v>0</v>
      </c>
      <c r="AD68" s="156" t="e">
        <f t="shared" si="27"/>
        <v>#N/A</v>
      </c>
      <c r="AF68" s="667" t="s">
        <v>23</v>
      </c>
      <c r="AG68" s="668"/>
      <c r="AH68" s="152">
        <f>EOMONTH(CONCATENATE("01.","01.",$AF$56),11)</f>
        <v>1096</v>
      </c>
      <c r="AI68" s="153">
        <f t="shared" si="12"/>
        <v>0</v>
      </c>
      <c r="AJ68" s="153">
        <f t="shared" si="13"/>
        <v>0</v>
      </c>
      <c r="AK68" s="153">
        <f t="shared" si="14"/>
        <v>0</v>
      </c>
      <c r="AL68" s="677">
        <f t="shared" si="33"/>
        <v>0</v>
      </c>
      <c r="AM68" s="678"/>
      <c r="AN68" s="155" t="str">
        <f t="shared" si="16"/>
        <v/>
      </c>
      <c r="AO68" s="156">
        <f t="shared" si="17"/>
        <v>0</v>
      </c>
      <c r="AP68" s="155">
        <f t="shared" si="28"/>
        <v>0</v>
      </c>
      <c r="AQ68" s="156" t="e">
        <f t="shared" si="18"/>
        <v>#N/A</v>
      </c>
      <c r="AR68" s="156" t="e">
        <f t="shared" si="19"/>
        <v>#N/A</v>
      </c>
      <c r="AS68" s="156">
        <f t="shared" si="20"/>
        <v>0</v>
      </c>
      <c r="AT68" s="156" t="e">
        <f t="shared" si="29"/>
        <v>#N/A</v>
      </c>
    </row>
    <row r="69" spans="2:47" ht="16.5" thickBot="1" x14ac:dyDescent="0.4">
      <c r="B69" s="159" t="s">
        <v>24</v>
      </c>
      <c r="C69" s="159"/>
      <c r="D69" s="159"/>
      <c r="E69" s="159"/>
      <c r="F69" s="159"/>
      <c r="G69" s="160" t="e">
        <f>SUM(G57:G68)</f>
        <v>#VALUE!</v>
      </c>
      <c r="H69" s="161"/>
      <c r="I69" s="161" t="e">
        <f t="shared" ref="I69" si="36">SUM(I57:I68)</f>
        <v>#VALUE!</v>
      </c>
      <c r="J69" s="161" t="e">
        <f>SUM(J57:J68)</f>
        <v>#VALUE!</v>
      </c>
      <c r="K69" s="161" t="e">
        <f t="shared" ref="K69:N69" si="37">SUM(K57:K68)</f>
        <v>#VALUE!</v>
      </c>
      <c r="L69" s="161" t="e">
        <f t="shared" si="37"/>
        <v>#N/A</v>
      </c>
      <c r="M69" s="161" t="e">
        <f t="shared" si="37"/>
        <v>#VALUE!</v>
      </c>
      <c r="N69" s="161" t="e">
        <f t="shared" si="37"/>
        <v>#VALUE!</v>
      </c>
      <c r="O69" s="450" t="s">
        <v>83</v>
      </c>
      <c r="P69" s="679" t="s">
        <v>24</v>
      </c>
      <c r="Q69" s="680"/>
      <c r="R69" s="162"/>
      <c r="S69" s="162"/>
      <c r="T69" s="162"/>
      <c r="U69" s="162"/>
      <c r="V69" s="775">
        <f>SUM(V57:V68)</f>
        <v>0</v>
      </c>
      <c r="W69" s="776"/>
      <c r="X69" s="163"/>
      <c r="Y69" s="163">
        <f t="shared" ref="Y69" si="38">SUM(Y57:Y68)</f>
        <v>0</v>
      </c>
      <c r="Z69" s="163">
        <f t="shared" ref="Z69:AD69" si="39">SUM(Z57:Z68)</f>
        <v>0</v>
      </c>
      <c r="AA69" s="163" t="e">
        <f t="shared" si="39"/>
        <v>#N/A</v>
      </c>
      <c r="AB69" s="163" t="e">
        <f t="shared" si="39"/>
        <v>#N/A</v>
      </c>
      <c r="AC69" s="163">
        <f t="shared" si="39"/>
        <v>0</v>
      </c>
      <c r="AD69" s="163" t="e">
        <f t="shared" si="39"/>
        <v>#N/A</v>
      </c>
      <c r="AE69" s="450" t="s">
        <v>83</v>
      </c>
      <c r="AF69" s="692" t="s">
        <v>24</v>
      </c>
      <c r="AG69" s="693"/>
      <c r="AH69" s="164"/>
      <c r="AI69" s="164"/>
      <c r="AJ69" s="164"/>
      <c r="AK69" s="164"/>
      <c r="AL69" s="696">
        <f>SUM(AL57:AL68)</f>
        <v>0</v>
      </c>
      <c r="AM69" s="697"/>
      <c r="AN69" s="165"/>
      <c r="AO69" s="165">
        <f t="shared" ref="AO69" si="40">SUM(AO57:AO68)</f>
        <v>0</v>
      </c>
      <c r="AP69" s="165">
        <f t="shared" ref="AP69:AT69" si="41">SUM(AP57:AP68)</f>
        <v>0</v>
      </c>
      <c r="AQ69" s="165" t="e">
        <f t="shared" si="41"/>
        <v>#N/A</v>
      </c>
      <c r="AR69" s="165" t="e">
        <f t="shared" si="41"/>
        <v>#N/A</v>
      </c>
      <c r="AS69" s="165">
        <f t="shared" si="41"/>
        <v>0</v>
      </c>
      <c r="AT69" s="165" t="e">
        <f t="shared" si="41"/>
        <v>#N/A</v>
      </c>
      <c r="AU69" s="450" t="s">
        <v>83</v>
      </c>
    </row>
    <row r="70" spans="2:47" ht="16.5" thickBot="1" x14ac:dyDescent="0.4">
      <c r="B70" s="137"/>
      <c r="C70" s="137"/>
      <c r="D70" s="137"/>
      <c r="E70" s="137"/>
      <c r="F70" s="137"/>
      <c r="G70" s="166" t="s">
        <v>25</v>
      </c>
      <c r="H70" s="167" t="e">
        <f>IF(AND(J29="ja",$X$6=TRUE),(AVERAGE(H63:H68))/12*COUNTIFS(G57:G68,"&gt;0"),IF(AND($X$6=TRUE,J29="nein"),(AVERAGE(H57:H68)/12)*COUNTIFS(G57:G68,"&gt;0"),IF(AND(OR($X$6="",$X$6=FALSE),J29="ja"),(AVERAGE(H63:H68))/12*COUNTIFS(G57:G68,"&gt;0"),0)))</f>
        <v>#VALUE!</v>
      </c>
      <c r="I70" s="167"/>
      <c r="J70" s="249">
        <f t="shared" ref="J70" si="42">IFERROR((SUM(J57:J68)/COUNTIFS(J57:J68,"&gt;0")),0)</f>
        <v>0</v>
      </c>
      <c r="K70" s="249" t="e">
        <f>J70*AGBTR_Jahr1</f>
        <v>#N/A</v>
      </c>
      <c r="L70" s="249" t="e">
        <f>J70*VZunbDM1</f>
        <v>#N/A</v>
      </c>
      <c r="M70" s="447" t="s">
        <v>182</v>
      </c>
      <c r="N70" s="448" t="e">
        <f>SUM(J70:L70)</f>
        <v>#N/A</v>
      </c>
      <c r="O70" s="449" t="e">
        <f>N70*COUNTIFS(J57:J68,"&gt;0")</f>
        <v>#N/A</v>
      </c>
      <c r="V70" s="685" t="s">
        <v>25</v>
      </c>
      <c r="W70" s="686"/>
      <c r="X70" s="167" t="e">
        <f>IF(AND(P29="ja",$X$6=TRUE),(AVERAGE(X63:X68))/12*COUNTIFS(V57:W68,"&gt;0"),IF(AND($X$6=TRUE,P29="nein"),(AVERAGE(X57:X68)/12)*COUNTIFS(V57:W68,"&gt;0"),IF(AND(OR($X$6="",$X$6=FALSE),P29="ja"),(AVERAGE(X63:X68))/12*COUNTIFS(V57:W68,"&gt;0"),0)))</f>
        <v>#DIV/0!</v>
      </c>
      <c r="Y70" s="167"/>
      <c r="Z70" s="249">
        <f t="shared" ref="Z70" si="43">IFERROR((SUM(Z57:Z68)/COUNTIFS(Z57:Z68,"&gt;0")),0)</f>
        <v>0</v>
      </c>
      <c r="AA70" s="249" t="e">
        <f>Z70*AGBTR_Jahr2</f>
        <v>#N/A</v>
      </c>
      <c r="AB70" s="249" t="e">
        <f>Z70*VZunbDM2</f>
        <v>#N/A</v>
      </c>
      <c r="AC70" s="447" t="s">
        <v>182</v>
      </c>
      <c r="AD70" s="448" t="e">
        <f>SUM(Z70:AB70)</f>
        <v>#N/A</v>
      </c>
      <c r="AE70" s="449" t="e">
        <f>AD70*COUNTIFS(Z57:Z68,"&gt;0")</f>
        <v>#N/A</v>
      </c>
      <c r="AL70" s="685" t="s">
        <v>25</v>
      </c>
      <c r="AM70" s="686"/>
      <c r="AN70" s="167" t="e">
        <f>IF(AND(AB29="ja",$X$6=TRUE),(AVERAGE(AN63:AN68))/12*COUNTIFS(AL57:AM68,"&gt;0"),IF(AND($X$6=TRUE,AB29="nein"),(AVERAGE(AN57:AN68)/12)*COUNTIFS(AL57:AM68,"&gt;0"),IF(AND(OR($X$6="",$X$6=FALSE),AB29="ja"),(AVERAGE(AN63:AN68))/12*COUNTIFS(AL57:AM68,"&gt;0"),0)))</f>
        <v>#DIV/0!</v>
      </c>
      <c r="AO70" s="167"/>
      <c r="AP70" s="249">
        <f t="shared" ref="AP70" si="44">IFERROR((SUM(AP57:AP68)/COUNTIFS(AP57:AP68,"&gt;0")),0)</f>
        <v>0</v>
      </c>
      <c r="AQ70" s="249" t="e">
        <f>AP70*AGBTR_Jahr3</f>
        <v>#N/A</v>
      </c>
      <c r="AR70" s="249" t="e">
        <f>AP70*VZunbDM3</f>
        <v>#N/A</v>
      </c>
      <c r="AS70" s="447" t="s">
        <v>182</v>
      </c>
      <c r="AT70" s="448" t="e">
        <f>SUM(AP70:AR70)</f>
        <v>#N/A</v>
      </c>
      <c r="AU70" s="449" t="e">
        <f>AT70*COUNTIFS(AP57:AP68,"&gt;0")</f>
        <v>#N/A</v>
      </c>
    </row>
    <row r="72" spans="2:47" ht="16.5" hidden="1" outlineLevel="1" thickBot="1" x14ac:dyDescent="0.4">
      <c r="B72" s="169" t="s">
        <v>107</v>
      </c>
      <c r="C72" s="169"/>
      <c r="D72" s="169"/>
      <c r="E72" s="169"/>
      <c r="F72" s="169"/>
      <c r="G72" s="170">
        <f>IFERROR((SUM(G57:G68)/COUNTIFS(G57:G68,"&gt;0")),0)</f>
        <v>0</v>
      </c>
      <c r="H72" s="171">
        <f>IFERROR((SUM(H58:H69)/COUNTIFS(H58:H69,"&gt;0")),0)</f>
        <v>0</v>
      </c>
      <c r="I72" s="171"/>
      <c r="J72" s="171">
        <f>IFERROR((SUM(J57:J68)/COUNTIFS(J57:J68,"&gt;0")),0)</f>
        <v>0</v>
      </c>
      <c r="K72" s="171">
        <f t="shared" ref="K72:N72" si="45">IFERROR((SUM(K57:K68)/COUNTIFS(K57:K68,"&gt;0")),0)</f>
        <v>0</v>
      </c>
      <c r="L72" s="171">
        <f t="shared" si="45"/>
        <v>0</v>
      </c>
      <c r="M72" s="171">
        <f t="shared" si="45"/>
        <v>0</v>
      </c>
      <c r="N72" s="171">
        <f t="shared" si="45"/>
        <v>0</v>
      </c>
      <c r="O72" s="149"/>
      <c r="P72" s="681" t="s">
        <v>103</v>
      </c>
      <c r="Q72" s="682"/>
      <c r="R72" s="172"/>
      <c r="S72" s="172"/>
      <c r="T72" s="172"/>
      <c r="U72" s="172"/>
      <c r="V72" s="683">
        <f>IFERROR((SUM(V57:W68)/COUNTIFS(V57:W68,"&gt;0")),0)</f>
        <v>0</v>
      </c>
      <c r="W72" s="684"/>
      <c r="X72" s="173" t="e">
        <f>IF($AD$8="ja",((AVERAGE(X58:X69))/12)*COUNTIFS(V58:W69,"&gt;0"),((AVERAGE(X64:X69))/12)*COUNTIFS(V58:W69,"&gt;0"))</f>
        <v>#DIV/0!</v>
      </c>
      <c r="Y72" s="173"/>
      <c r="Z72" s="171">
        <f>IFERROR((SUM(Z57:Z68)/COUNTIFS(Z57:Z68,"&gt;0")),0)</f>
        <v>0</v>
      </c>
      <c r="AA72" s="171">
        <f t="shared" ref="AA72:AD72" si="46">IFERROR((SUM(AA57:AA68)/COUNTIFS(AA57:AA68,"&gt;0")),0)</f>
        <v>0</v>
      </c>
      <c r="AB72" s="171">
        <f t="shared" si="46"/>
        <v>0</v>
      </c>
      <c r="AC72" s="171">
        <f t="shared" si="46"/>
        <v>0</v>
      </c>
      <c r="AD72" s="171">
        <f t="shared" si="46"/>
        <v>0</v>
      </c>
      <c r="AF72" s="681" t="s">
        <v>103</v>
      </c>
      <c r="AG72" s="682"/>
      <c r="AH72" s="172"/>
      <c r="AI72" s="172"/>
      <c r="AJ72" s="172"/>
      <c r="AK72" s="172"/>
      <c r="AL72" s="683">
        <f>IFERROR((SUM(AL57:AM68)/COUNTIFS(AL57:AM68,"&gt;0")),0)</f>
        <v>0</v>
      </c>
      <c r="AM72" s="684"/>
      <c r="AN72" s="173" t="e">
        <f>IF($AD$8="ja",((AVERAGE(AN58:AN69))/12)*COUNTIFS(AL58:AM69,"&gt;0"),((AVERAGE(AN64:AN69))/12)*COUNTIFS(AL58:AM69,"&gt;0"))</f>
        <v>#DIV/0!</v>
      </c>
      <c r="AO72" s="173"/>
      <c r="AP72" s="171">
        <f>IFERROR((SUM(AP57:AP68)/COUNTIFS(AP57:AP68,"&gt;0")),0)</f>
        <v>0</v>
      </c>
      <c r="AQ72" s="171">
        <f>IFERROR((SUM(AQ57:AQ68)/COUNTIFS(AQ57:AQ68,"&gt;0")),0)</f>
        <v>0</v>
      </c>
      <c r="AR72" s="171">
        <f>IFERROR((SUM(AR57:AR68)/COUNTIFS(AR57:AR68,"&gt;0")),0)</f>
        <v>0</v>
      </c>
      <c r="AS72" s="171">
        <f>IFERROR((SUM(AS57:AS68)/COUNTIFS(AS57:AS68,"&gt;0")),0)</f>
        <v>0</v>
      </c>
      <c r="AT72" s="171">
        <f>IFERROR((SUM(AT57:AT68)/COUNTIFS(AT57:AT68,"&gt;0")),0)</f>
        <v>0</v>
      </c>
    </row>
    <row r="73" spans="2:47" collapsed="1" x14ac:dyDescent="0.35">
      <c r="B73" s="137"/>
      <c r="C73" s="137"/>
      <c r="D73" s="137"/>
      <c r="E73" s="137"/>
      <c r="F73" s="137"/>
      <c r="G73" s="115"/>
      <c r="H73" s="174"/>
      <c r="I73" s="174"/>
      <c r="J73" s="175"/>
      <c r="O73" s="149"/>
      <c r="W73" s="115"/>
      <c r="X73" s="174"/>
      <c r="Y73" s="174"/>
      <c r="Z73" s="175"/>
      <c r="AL73" s="115"/>
      <c r="AM73" s="115"/>
      <c r="AN73" s="174"/>
      <c r="AO73" s="174"/>
      <c r="AP73" s="175"/>
    </row>
    <row r="74" spans="2:47" ht="16.5" thickBot="1" x14ac:dyDescent="0.4">
      <c r="O74" s="149"/>
    </row>
    <row r="75" spans="2:47" ht="16.5" thickBot="1" x14ac:dyDescent="0.4">
      <c r="B75" s="176" t="s">
        <v>59</v>
      </c>
      <c r="C75" s="177"/>
      <c r="D75" s="177"/>
      <c r="E75" s="177"/>
      <c r="F75" s="177"/>
      <c r="G75" s="178">
        <f>J37+L37+N37</f>
        <v>0</v>
      </c>
      <c r="H75" s="179"/>
      <c r="I75" s="174"/>
      <c r="J75" s="175"/>
      <c r="O75" s="149"/>
      <c r="P75" s="767" t="s">
        <v>59</v>
      </c>
      <c r="Q75" s="768"/>
      <c r="R75" s="180"/>
      <c r="S75" s="180"/>
      <c r="T75" s="180"/>
      <c r="U75" s="180"/>
      <c r="V75" s="769">
        <f>P37+V37+Z37</f>
        <v>0</v>
      </c>
      <c r="W75" s="770"/>
      <c r="X75" s="180"/>
      <c r="AC75" s="137"/>
      <c r="AD75" s="137"/>
      <c r="AF75" s="694" t="s">
        <v>59</v>
      </c>
      <c r="AG75" s="695"/>
      <c r="AH75" s="181"/>
      <c r="AI75" s="181"/>
      <c r="AJ75" s="181"/>
      <c r="AK75" s="181"/>
      <c r="AL75" s="700">
        <f>AB37+AD37+AF37</f>
        <v>0</v>
      </c>
      <c r="AM75" s="701"/>
    </row>
    <row r="76" spans="2:47" x14ac:dyDescent="0.35">
      <c r="B76" s="182">
        <f>AF56+1</f>
        <v>1903</v>
      </c>
      <c r="C76" s="179" t="s">
        <v>31</v>
      </c>
      <c r="D76" s="179" t="s">
        <v>32</v>
      </c>
      <c r="E76" s="179" t="s">
        <v>33</v>
      </c>
      <c r="F76" s="179" t="s">
        <v>34</v>
      </c>
      <c r="G76" s="179" t="s">
        <v>5</v>
      </c>
      <c r="H76" s="179" t="s">
        <v>6</v>
      </c>
      <c r="I76" s="179" t="s">
        <v>299</v>
      </c>
      <c r="J76" s="179" t="s">
        <v>7</v>
      </c>
      <c r="K76" s="179" t="s">
        <v>8</v>
      </c>
      <c r="L76" s="179" t="s">
        <v>9</v>
      </c>
      <c r="M76" s="179" t="s">
        <v>10</v>
      </c>
      <c r="N76" s="179" t="s">
        <v>11</v>
      </c>
      <c r="O76" s="157"/>
      <c r="P76" s="687">
        <f>B76+1</f>
        <v>1904</v>
      </c>
      <c r="Q76" s="688"/>
      <c r="R76" s="183" t="s">
        <v>31</v>
      </c>
      <c r="S76" s="183" t="s">
        <v>32</v>
      </c>
      <c r="T76" s="183" t="s">
        <v>33</v>
      </c>
      <c r="U76" s="183" t="s">
        <v>34</v>
      </c>
      <c r="V76" s="689" t="s">
        <v>5</v>
      </c>
      <c r="W76" s="688"/>
      <c r="X76" s="183" t="s">
        <v>6</v>
      </c>
      <c r="Y76" s="183" t="s">
        <v>299</v>
      </c>
      <c r="Z76" s="183" t="s">
        <v>7</v>
      </c>
      <c r="AA76" s="183" t="s">
        <v>8</v>
      </c>
      <c r="AB76" s="183" t="s">
        <v>9</v>
      </c>
      <c r="AC76" s="183" t="s">
        <v>10</v>
      </c>
      <c r="AD76" s="183" t="s">
        <v>11</v>
      </c>
      <c r="AE76" s="158"/>
      <c r="AF76" s="777">
        <f>P76+1</f>
        <v>1905</v>
      </c>
      <c r="AG76" s="778"/>
      <c r="AH76" s="432" t="s">
        <v>31</v>
      </c>
      <c r="AI76" s="432" t="s">
        <v>32</v>
      </c>
      <c r="AJ76" s="432" t="s">
        <v>33</v>
      </c>
      <c r="AK76" s="432" t="s">
        <v>34</v>
      </c>
      <c r="AL76" s="698" t="s">
        <v>5</v>
      </c>
      <c r="AM76" s="699"/>
      <c r="AN76" s="185" t="s">
        <v>6</v>
      </c>
      <c r="AO76" s="185" t="s">
        <v>299</v>
      </c>
      <c r="AP76" s="185" t="s">
        <v>7</v>
      </c>
      <c r="AQ76" s="185" t="s">
        <v>8</v>
      </c>
      <c r="AR76" s="185" t="s">
        <v>9</v>
      </c>
      <c r="AS76" s="185" t="s">
        <v>10</v>
      </c>
      <c r="AT76" s="185" t="s">
        <v>11</v>
      </c>
    </row>
    <row r="77" spans="2:47" x14ac:dyDescent="0.35">
      <c r="B77" s="151" t="s">
        <v>12</v>
      </c>
      <c r="C77" s="152">
        <f>EOMONTH(CONCATENATE("01.","01.",$B$76),0)</f>
        <v>1127</v>
      </c>
      <c r="D77" s="153">
        <f>IF($J$36="",0,IF(AND(DAY($J$36)&gt;1,MONTH(C77)=MONTH($J$36)),$K$37,IF(AND(C77&gt;=$J$36,C77&lt;=$K$36),30,IF((MONTH(C77)=MONTH($K$36)),DAY($K$36),0))))</f>
        <v>0</v>
      </c>
      <c r="E77" s="153">
        <f>IF($L$36="",0,IF(C77&lt;$L$36,0,IF(AND(MONTH($L$36)=MONTH($M$36),MONTH(C77)=MONTH($M$36)),$M$37,IF(AND(MONTH($L$36)&lt;&gt;MONTH($M$36),MONTH(C77)=MONTH($L$36)),$M$37,IF(AND(D77&gt;0,DAY($J$36)&gt;1,MONTH($J$36)=MONTH($K$36)),30-D77-DAY($J$36)+1,IF(AND(D77&gt;0,DAY($J$36)&gt;1),30-D77,(IF(D77&gt;0,30-D77,IF(AND(C77&gt;=$L$36,C77&lt;=$M$36),30,IF((MONTH(C77)=MONTH($M$36)),DAY($M$36),0))))))))))</f>
        <v>0</v>
      </c>
      <c r="F77" s="153">
        <f>IF($N$36="",0,IF(C77&lt;$N$36,0,IF(AND(MONTH($N$36)=MONTH($O$36),MONTH(C77)=MONTH($O$36)),$O$37,IF(AND(MONTH($N$36)&lt;&gt;MONTH($O$36),MONTH(C77)=MONTH($N$36)),$O$37,IF(AND(E77&gt;0,MONTH($N$36)=MONTH($M$36)),30-DAY($M$36),(IF(E77&gt;0,30-D77-E77,IF(AND(C77&gt;=$N$36,C77&lt;=$O$36),30,IF((MONTH(C77)=MONTH($O$36)),DAY($O$36),0)))))))))</f>
        <v>0</v>
      </c>
      <c r="G77" s="154">
        <f>(D77*$J$38/30)+(E77*$L$38/30)+(F77*$N$38/30)</f>
        <v>0</v>
      </c>
      <c r="H77" s="155" t="str">
        <f t="shared" ref="H77:H85" si="47">IF(AND(SUM(D77:F77)=30,F77&gt;0),$N$38*$N$42,IF(AND(SUM(D77:F77)=30,E77&gt;0),$L$38*$L$42,IF(AND(SUM(D77:F77)=30,D77&gt;0),$J$38*$J$42,"")))</f>
        <v/>
      </c>
      <c r="I77" s="156">
        <f t="shared" ref="I77:I88" si="48">IF(AND($X$9=TRUE,G77&gt;0),(MZJahr4*$W$6),0)</f>
        <v>0</v>
      </c>
      <c r="J77" s="155">
        <f>IF(G77=0,0,IF(AND($J$43="ja",$X$6=TRUE),(AVERAGE($H$83:$H$88))/12*COUNTIFS($G$77:$G$88,"&gt;0"),IF(AND($X$6=TRUE,$J$43="nein"),(AVERAGE($H$77:$H$88)/12)*COUNTIFS($G$77:$G$88,"&gt;0"),IF(AND(OR($X$6="",$X$6=FALSE),$J$43="ja"),(AVERAGE($H$83:$H$88))/12*COUNTIFS($G$77:$G$88,"&gt;0"),0)))/COUNTIFS($G$77:$G$88,"&gt;0"))</f>
        <v>0</v>
      </c>
      <c r="K77" s="156" t="e">
        <f t="shared" ref="K77:K88" si="49">IF((G77)&gt;=Bmg2Jahr4,AGHBTR_Jahr4,IF((G77)&gt;=Bmg1Jahr4,(RvBeitrJahr4*(G77+J77))+(AvBeitrJahr4*(G77+J77))+(U2UmlJahr4*(G77+J77))+HBetrKVJahr4+HBetrPVJahr4,AGBTR_Jahr4*(G77+J77)))</f>
        <v>#N/A</v>
      </c>
      <c r="L77" s="156" t="e">
        <f t="shared" ref="L77:L88" si="50">IF($X$8=TRUE,VZunbDM1*(G77+J77+K77+I77-U2UmlJahr1*(G77+J77)),VzDmJahr1*(G77+J77))</f>
        <v>#N/A</v>
      </c>
      <c r="M77" s="156">
        <f t="shared" ref="M77:M88" si="51">IF(G77&gt;0,(LukJahr4*$W$6),0)</f>
        <v>0</v>
      </c>
      <c r="N77" s="156" t="e">
        <f>SUM(G77,J77,K77,L77,M77+I77)</f>
        <v>#N/A</v>
      </c>
      <c r="O77" s="157"/>
      <c r="P77" s="667" t="s">
        <v>12</v>
      </c>
      <c r="Q77" s="668"/>
      <c r="R77" s="152">
        <f>EOMONTH(CONCATENATE("01.","01.",$P$76),0)</f>
        <v>1492</v>
      </c>
      <c r="S77" s="153">
        <f>IF($P$36="",0,IF(AND(DAY($P$36)&gt;1,MONTH(R77)=MONTH($P$36)),$Q$37,IF(AND(R77&gt;=$P$36,R77&lt;=$Q$36),30,IF((MONTH(R77)=MONTH($Q$36)),DAY($Q$36),0))))</f>
        <v>0</v>
      </c>
      <c r="T77" s="153">
        <f>IF($V$36="",0,IF(R77&lt;$V$36,0,IF(AND(MONTH($V$36)=MONTH($W$36),MONTH(R77)=MONTH($W$36)),$W$37,IF(AND(MONTH($V$36)&lt;&gt;MONTH($W$36),MONTH(R77)=MONTH($V$36)),$W$37,IF(AND(S77&gt;0,DAY($P$36)&gt;1,MONTH($P$36)=MONTH($Q$36)),30-S77-DAY($P$36)+1,IF(AND(S77&gt;0,DAY($P$36)&gt;1),30-S77,(IF(S77&gt;0,30-S77,IF(AND(R77&gt;=$V$36,R77&lt;=$W$36),30,IF((MONTH(R77)=MONTH($W$36)),DAY($W$36),0))))))))))</f>
        <v>0</v>
      </c>
      <c r="U77" s="153">
        <f t="shared" ref="U77:U88" si="52">IF($Z$36="",0,IF(R77&lt;$Z$36,0,IF(AND(MONTH($Z$36)=MONTH($AA$36),MONTH(R77)=MONTH($AA$36)),$AA$37,IF(AND(MONTH($Z$36)&lt;&gt;MONTH($AA$36),MONTH(R77)=MONTH($Z$36)),$AA$37,IF(AND(T77&gt;0,MONTH($Z$36)=MONTH($W$36)),30-DAY($W$36),(IF(T77&gt;0,30-S77-T77,IF(AND(R77&gt;=$Z$36,R77&lt;=$AA$36),30,IF((MONTH(R77)=MONTH($AA$36)),DAY($AA$36),0)))))))))</f>
        <v>0</v>
      </c>
      <c r="V77" s="677">
        <f t="shared" ref="V77:V88" si="53">(S77*$P$38/30)+(T77*$V$38/30)+(U77*$Z$38/30)</f>
        <v>0</v>
      </c>
      <c r="W77" s="678"/>
      <c r="X77" s="155" t="str">
        <f t="shared" ref="X77:X85" si="54">IF(AND(SUM(S77:U77)=30,U77&gt;0),$Z$38*$Z$42,IF(AND(SUM(S77:U77)=30,T77&gt;0),$V$38*$V$42,IF(AND(SUM(S77:U77)=30,S77&gt;0),$P$38*$P$42,"")))</f>
        <v/>
      </c>
      <c r="Y77" s="156">
        <f t="shared" ref="Y77:Y88" si="55">IF(AND($X$9=TRUE,V77&gt;0),(MZJahr5*$O$10),0)</f>
        <v>0</v>
      </c>
      <c r="Z77" s="155">
        <f>IF(V77=0,0,IF(AND($P$43="ja",$X$6=TRUE),(AVERAGE($X$83:$X$88))/12*COUNTIFS($V$77:$W$88,"&gt;0"),IF(AND($X$6=TRUE,$P$43="nein"),(AVERAGE($X$77:$X$88)/12)*COUNTIFS($V$77:$W$88,"&gt;0"),IF(AND(OR($X$6="",$X$6=FALSE),$P$29="ja"),(AVERAGE($X$83:$X$88))/12*COUNTIFS($V$77:$W$88,"&gt;0"),0)))/COUNTIFS($V$77:$W$88,"&gt;0"))</f>
        <v>0</v>
      </c>
      <c r="AA77" s="156" t="e">
        <f t="shared" ref="AA77:AA88" si="56">IF((V77)&gt;=Bmg2Jahr5,AGHBTR_Jahr5,IF((V77)&gt;=Bmg1Jahr5,(RvBeitrJahr5*(V77+Z77))+(AvBeitrJahr5*(V77+Z77))+(U2UmlJahr5*(V77+Z77))+HBetrKVJahr5+HBetrPVJahr5,AGBTR_Jahr5*(V77+Z77)))</f>
        <v>#N/A</v>
      </c>
      <c r="AB77" s="156" t="e">
        <f t="shared" ref="AB77:AB88" si="57">IF($X$8=TRUE,VZunbDM1*(U77+Y77+Z77+AA77-U2UmlJahr1*(V77+Z77)),VzDmJahr1*(V77+Z77))</f>
        <v>#N/A</v>
      </c>
      <c r="AC77" s="156">
        <f t="shared" ref="AC77:AC88" si="58">IF(V77&gt;0,(LukJahr5*$W$6),0)</f>
        <v>0</v>
      </c>
      <c r="AD77" s="156" t="e">
        <f>SUM(V77,Z77,AA77,AB77,AC77+Y77)</f>
        <v>#N/A</v>
      </c>
      <c r="AE77" s="158"/>
      <c r="AF77" s="667" t="s">
        <v>12</v>
      </c>
      <c r="AG77" s="668"/>
      <c r="AH77" s="152">
        <f>EOMONTH(CONCATENATE("01.","01.",$AF$76),0)</f>
        <v>1858</v>
      </c>
      <c r="AI77" s="153">
        <f t="shared" ref="AI77:AI88" si="59">IF($AB$36="",0,IF(AND(DAY($AB$36)&gt;1,MONTH(AH77)=MONTH($AB$36)),$AC$37,IF(AND(AH77&gt;=$AB$36,AH77&lt;=$AC$36),30,IF((MONTH(AH77)=MONTH($AC$36)),DAY($AC$36),0))))</f>
        <v>0</v>
      </c>
      <c r="AJ77" s="153">
        <f t="shared" ref="AJ77:AJ88" si="60">IF($AD$36="",0,IF(AH77&lt;$AD$36,0,IF(AND(MONTH($AD$36)=MONTH($AE$36),MONTH(AH77)=MONTH($AE$36)),$AE$37,IF(AND(MONTH($AD$36)&lt;&gt;MONTH($AE$36),MONTH(AH77)=MONTH($AD$36)),$AE$37,IF(AND(AI77&gt;0,DAY($AB$36)&gt;1,MONTH($AB$36)=MONTH($AC$36)),30-AI77-DAY($AB$36)+1,IF(AND(AI77&gt;0,DAY($AB$36)&gt;1),30-AI77,(IF(AI77&gt;0,30-AI77,IF(AND(AH77&gt;=$AD$36,AH77&lt;=$AE$36),30,IF((MONTH(AH77)=MONTH($AE$36)),DAY($AE$36),0))))))))))</f>
        <v>0</v>
      </c>
      <c r="AK77" s="153">
        <f t="shared" ref="AK77:AK88" si="61">IF($AF$36="",0,IF(AH77&lt;$AF$36,0,IF(AND(MONTH($AF$36)=MONTH($AG$36),MONTH(AH77)=MONTH($AG$36)),$AG$37,IF(AND(MONTH($AF$36)&lt;&gt;MONTH($AG$36),MONTH(AH77)=MONTH($AF$36)),$AG$37,IF(AND(AJ77&gt;0,MONTH($AF$36)=MONTH($AE$36)),30-DAY($AE$36),(IF(AJ77&gt;0,30-AI77-AJ77,IF(AND(AH77&gt;=$AF$36,AH77&lt;=$AG$36),30,IF((MONTH(AH77)=MONTH($AG$36)),DAY($AG$36),0)))))))))</f>
        <v>0</v>
      </c>
      <c r="AL77" s="677">
        <f t="shared" ref="AL77:AL88" si="62">(AI77*$AB$38/30)+(AJ77*$AD$38/30)+(AK77*$AF$38/30)</f>
        <v>0</v>
      </c>
      <c r="AM77" s="678"/>
      <c r="AN77" s="155" t="str">
        <f t="shared" ref="AN77:AN88" si="63">IF(AND(SUM(AI77:AK77)=30,AK77&gt;0),$AF$38*$AF$42,IF(AND(SUM(AI77:AK77)=30,AJ77&gt;0),$AD$38*$AD$42,IF(AND(SUM(AI77:AK77)=30,AI77&gt;0),$AB$38*$AB$42,"")))</f>
        <v/>
      </c>
      <c r="AO77" s="156">
        <f t="shared" ref="AO77:AO88" si="64">IF(AND($X$9=TRUE,AL77&gt;0),(MZJahr6*$O$10),0)</f>
        <v>0</v>
      </c>
      <c r="AP77" s="155">
        <f>IF(AL77=0,0,IF(AND($AB$43="ja",$X$6=TRUE),(AVERAGE($AN$83:$AN$88))/12*COUNTIFS($AL$77:$AM$88,"&gt;0"),IF(AND($X$6=TRUE,$AB$43="nein"),(AVERAGE($AN$77:$AN$88)/12)*COUNTIFS($AL$77:$AM$88,"&gt;0"),IF(AND(OR($X$6="",$X$6=FALSE),$AB$43="ja"),(AVERAGE($AN$83:$AN$88))/12*COUNTIFS($AL$77:$AM$88,"&gt;0"),0)))/COUNTIFS($AL$77:$AM$88,"&gt;0"))</f>
        <v>0</v>
      </c>
      <c r="AQ77" s="156" t="e">
        <f t="shared" ref="AQ77:AQ88" si="65">IF((AL77)&gt;=Bmg2Jahr6,AGHBTR_Jahr6,IF((AL77)&gt;=Bmg1Jahr6,(RvBeitrJahr6*(AL77+AP77))+(AvBeitrJahr6*(AL77+AP77))+(U2UmlJahr6*(AL77+AP77))+HBetrKVJahr6+HBetrPVJahr6,AGBTR_Jahr6*(AL77+AP77)))</f>
        <v>#N/A</v>
      </c>
      <c r="AR77" s="156" t="e">
        <f t="shared" ref="AR77:AR88" si="66">IF($X$8=TRUE,VZunbDM1*(AK77+AO77+AP77+AQ77-U2UmlJahr1*(AL77+AP77)),VzDmJahr1*(AL77+AP77))</f>
        <v>#N/A</v>
      </c>
      <c r="AS77" s="156">
        <f t="shared" ref="AS77:AS88" si="67">IF(AL77&gt;0,(LukJahr6*$W$6),0)</f>
        <v>0</v>
      </c>
      <c r="AT77" s="156" t="e">
        <f>SUM(AL77,AP77,AQ77,AR77,AS77+AO77)</f>
        <v>#N/A</v>
      </c>
    </row>
    <row r="78" spans="2:47" x14ac:dyDescent="0.35">
      <c r="B78" s="151" t="s">
        <v>13</v>
      </c>
      <c r="C78" s="152">
        <f>EOMONTH(CONCATENATE("01.","01.",$B$76),1)</f>
        <v>1155</v>
      </c>
      <c r="D78" s="153">
        <f t="shared" ref="D78:D88" si="68">IF($J$36="",0,IF(AND(DAY($J$36)&gt;1,MONTH(C78)=MONTH($J$36)),$K$37,IF(AND(C78&gt;=$J$36,C78&lt;=$K$36),30,IF((MONTH(C78)=MONTH($K$36)),DAY($K$36),0))))</f>
        <v>0</v>
      </c>
      <c r="E78" s="153">
        <f t="shared" ref="E78:E88" si="69">IF($L$36="",0,IF(C78&lt;$L$36,0,IF(AND(MONTH($L$36)=MONTH($M$36),MONTH(C78)=MONTH($M$36)),$M$37,IF(AND(MONTH($L$36)&lt;&gt;MONTH($M$36),MONTH(C78)=MONTH($L$36)),$M$37,IF(AND(D78&gt;0,DAY($J$36)&gt;1,MONTH($J$36)=MONTH($K$36)),30-D78-DAY($J$36)+1,IF(AND(D78&gt;0,DAY($J$36)&gt;1),30-D78,(IF(D78&gt;0,30-D78,IF(AND(C78&gt;=$L$36,C78&lt;=$M$36),30,IF((MONTH(C78)=MONTH($M$36)),DAY($M$36),0))))))))))</f>
        <v>0</v>
      </c>
      <c r="F78" s="153">
        <f t="shared" ref="F78:F88" si="70">IF($N$36="",0,IF(C78&lt;$N$36,0,IF(AND(MONTH($N$36)=MONTH($O$36),MONTH(C78)=MONTH($O$36)),$O$37,IF(AND(MONTH($N$36)&lt;&gt;MONTH($O$36),MONTH(C78)=MONTH($N$36)),$O$37,IF(AND(E78&gt;0,MONTH($N$36)=MONTH($M$36)),30-DAY($M$36),(IF(E78&gt;0,30-D78-E78,IF(AND(C78&gt;=$N$36,C78&lt;=$O$36),30,IF((MONTH(C78)=MONTH($O$36)),DAY($O$36),0)))))))))</f>
        <v>0</v>
      </c>
      <c r="G78" s="154">
        <f t="shared" ref="G78:G88" si="71">(D78*$J$38/30)+(E78*$L$38/30)+(F78*$N$38/30)</f>
        <v>0</v>
      </c>
      <c r="H78" s="155" t="str">
        <f t="shared" si="47"/>
        <v/>
      </c>
      <c r="I78" s="156">
        <f t="shared" si="48"/>
        <v>0</v>
      </c>
      <c r="J78" s="155">
        <f t="shared" ref="J78:J88" si="72">IF(G78=0,0,IF(AND($J$43="ja",$X$6=TRUE),(AVERAGE($H$83:$H$88))/12*COUNTIFS($G$77:$G$88,"&gt;0"),IF(AND($X$6=TRUE,$J$43="nein"),(AVERAGE($H$77:$H$88)/12)*COUNTIFS($G$77:$G$88,"&gt;0"),IF(AND(OR($X$6="",$X$6=FALSE),$J$43="ja"),(AVERAGE($H$83:$H$88))/12*COUNTIFS($G$77:$G$88,"&gt;0"),0)))/COUNTIFS($G$77:$G$88,"&gt;0"))</f>
        <v>0</v>
      </c>
      <c r="K78" s="156" t="e">
        <f t="shared" si="49"/>
        <v>#N/A</v>
      </c>
      <c r="L78" s="156" t="e">
        <f t="shared" si="50"/>
        <v>#N/A</v>
      </c>
      <c r="M78" s="156">
        <f t="shared" si="51"/>
        <v>0</v>
      </c>
      <c r="N78" s="156" t="e">
        <f t="shared" ref="N78:N88" si="73">SUM(G78,J78,K78,L78,M78+I78)</f>
        <v>#N/A</v>
      </c>
      <c r="O78" s="186"/>
      <c r="P78" s="667" t="s">
        <v>13</v>
      </c>
      <c r="Q78" s="668"/>
      <c r="R78" s="152">
        <f>EOMONTH(CONCATENATE("01.","01.",$P$76),1)</f>
        <v>1521</v>
      </c>
      <c r="S78" s="153">
        <f t="shared" ref="S78:S88" si="74">IF($P$36="",0,IF(AND(DAY($P$36)&gt;1,MONTH(R78)=MONTH($P$36)),$Q$37,IF(AND(R78&gt;=$P$36,R78&lt;=$Q$36),30,IF((MONTH(R78)=MONTH($Q$36)),DAY($Q$36),0))))</f>
        <v>0</v>
      </c>
      <c r="T78" s="153">
        <f t="shared" ref="T78:T88" si="75">IF($V$36="",0,IF(R78&lt;$V$36,0,IF(AND(MONTH($V$36)=MONTH($W$36),MONTH(R78)=MONTH($W$36)),$W$37,IF(AND(MONTH($V$36)&lt;&gt;MONTH($W$36),MONTH(R78)=MONTH($V$36)),$W$37,IF(AND(S78&gt;0,DAY($P$36)&gt;1,MONTH($P$36)=MONTH($Q$36)),30-S78-DAY($P$36)+1,IF(AND(S78&gt;0,DAY($P$36)&gt;1),30-S78,(IF(S78&gt;0,30-S78,IF(AND(R78&gt;=$V$36,R78&lt;=$W$36),30,IF((MONTH(R78)=MONTH($W$36)),DAY($W$36),0))))))))))</f>
        <v>0</v>
      </c>
      <c r="U78" s="153">
        <f t="shared" si="52"/>
        <v>0</v>
      </c>
      <c r="V78" s="677">
        <f t="shared" si="53"/>
        <v>0</v>
      </c>
      <c r="W78" s="678"/>
      <c r="X78" s="155" t="str">
        <f t="shared" si="54"/>
        <v/>
      </c>
      <c r="Y78" s="156">
        <f t="shared" si="55"/>
        <v>0</v>
      </c>
      <c r="Z78" s="155">
        <f t="shared" ref="Z78:Z88" si="76">IF(V78=0,0,IF(AND($P$43="ja",$X$6=TRUE),(AVERAGE($X$83:$X$88))/12*COUNTIFS($V$77:$W$88,"&gt;0"),IF(AND($X$6=TRUE,$P$43="nein"),(AVERAGE($X$77:$X$88)/12)*COUNTIFS($V$77:$W$88,"&gt;0"),IF(AND(OR($X$6="",$X$6=FALSE),$P$29="ja"),(AVERAGE($X$83:$X$88))/12*COUNTIFS($V$77:$W$88,"&gt;0"),0)))/COUNTIFS($V$77:$W$88,"&gt;0"))</f>
        <v>0</v>
      </c>
      <c r="AA78" s="156" t="e">
        <f t="shared" si="56"/>
        <v>#N/A</v>
      </c>
      <c r="AB78" s="156" t="e">
        <f t="shared" si="57"/>
        <v>#N/A</v>
      </c>
      <c r="AC78" s="156">
        <f t="shared" si="58"/>
        <v>0</v>
      </c>
      <c r="AD78" s="156" t="e">
        <f t="shared" ref="AD78:AD88" si="77">SUM(V78,Z78,AA78,AB78,AC78+Y78)</f>
        <v>#N/A</v>
      </c>
      <c r="AE78" s="158"/>
      <c r="AF78" s="667" t="s">
        <v>13</v>
      </c>
      <c r="AG78" s="668"/>
      <c r="AH78" s="152">
        <f>EOMONTH(CONCATENATE("01.","01.",$AF$76),1)</f>
        <v>1886</v>
      </c>
      <c r="AI78" s="153">
        <f t="shared" si="59"/>
        <v>0</v>
      </c>
      <c r="AJ78" s="153">
        <f t="shared" si="60"/>
        <v>0</v>
      </c>
      <c r="AK78" s="153">
        <f t="shared" si="61"/>
        <v>0</v>
      </c>
      <c r="AL78" s="677">
        <f t="shared" si="62"/>
        <v>0</v>
      </c>
      <c r="AM78" s="678"/>
      <c r="AN78" s="155" t="str">
        <f t="shared" si="63"/>
        <v/>
      </c>
      <c r="AO78" s="156">
        <f t="shared" si="64"/>
        <v>0</v>
      </c>
      <c r="AP78" s="155">
        <f t="shared" ref="AP78:AP88" si="78">IF(AL78=0,0,IF(AND($AB$43="ja",$X$6=TRUE),(AVERAGE($AN$83:$AN$88))/12*COUNTIFS($AL$77:$AM$88,"&gt;0"),IF(AND($X$6=TRUE,$AB$43="nein"),(AVERAGE($AN$77:$AN$88)/12)*COUNTIFS($AL$77:$AM$88,"&gt;0"),IF(AND(OR($X$6="",$X$6=FALSE),$AB$43="ja"),(AVERAGE($AN$83:$AN$88))/12*COUNTIFS($AL$77:$AM$88,"&gt;0"),0)))/COUNTIFS($AL$77:$AM$88,"&gt;0"))</f>
        <v>0</v>
      </c>
      <c r="AQ78" s="156" t="e">
        <f t="shared" si="65"/>
        <v>#N/A</v>
      </c>
      <c r="AR78" s="156" t="e">
        <f t="shared" si="66"/>
        <v>#N/A</v>
      </c>
      <c r="AS78" s="156">
        <f t="shared" si="67"/>
        <v>0</v>
      </c>
      <c r="AT78" s="156" t="e">
        <f t="shared" ref="AT78:AT88" si="79">SUM(AL78,AP78,AQ78,AR78,AS78+AO78)</f>
        <v>#N/A</v>
      </c>
    </row>
    <row r="79" spans="2:47" x14ac:dyDescent="0.35">
      <c r="B79" s="151" t="s">
        <v>14</v>
      </c>
      <c r="C79" s="152">
        <f>EOMONTH(CONCATENATE("01.","01.",$B$76),2)</f>
        <v>1186</v>
      </c>
      <c r="D79" s="153">
        <f t="shared" si="68"/>
        <v>0</v>
      </c>
      <c r="E79" s="153">
        <f t="shared" si="69"/>
        <v>0</v>
      </c>
      <c r="F79" s="153">
        <f t="shared" si="70"/>
        <v>0</v>
      </c>
      <c r="G79" s="154">
        <f t="shared" si="71"/>
        <v>0</v>
      </c>
      <c r="H79" s="155" t="str">
        <f t="shared" si="47"/>
        <v/>
      </c>
      <c r="I79" s="156">
        <f t="shared" si="48"/>
        <v>0</v>
      </c>
      <c r="J79" s="155">
        <f t="shared" si="72"/>
        <v>0</v>
      </c>
      <c r="K79" s="156" t="e">
        <f t="shared" si="49"/>
        <v>#N/A</v>
      </c>
      <c r="L79" s="156" t="e">
        <f t="shared" si="50"/>
        <v>#N/A</v>
      </c>
      <c r="M79" s="156">
        <f t="shared" si="51"/>
        <v>0</v>
      </c>
      <c r="N79" s="156" t="e">
        <f t="shared" si="73"/>
        <v>#N/A</v>
      </c>
      <c r="O79" s="157"/>
      <c r="P79" s="667" t="s">
        <v>14</v>
      </c>
      <c r="Q79" s="668"/>
      <c r="R79" s="152">
        <f>EOMONTH(CONCATENATE("01.","01.",$P$76),2)</f>
        <v>1552</v>
      </c>
      <c r="S79" s="153">
        <f t="shared" si="74"/>
        <v>0</v>
      </c>
      <c r="T79" s="153">
        <f t="shared" si="75"/>
        <v>0</v>
      </c>
      <c r="U79" s="153">
        <f t="shared" si="52"/>
        <v>0</v>
      </c>
      <c r="V79" s="677">
        <f t="shared" si="53"/>
        <v>0</v>
      </c>
      <c r="W79" s="678"/>
      <c r="X79" s="155" t="str">
        <f t="shared" si="54"/>
        <v/>
      </c>
      <c r="Y79" s="156">
        <f t="shared" si="55"/>
        <v>0</v>
      </c>
      <c r="Z79" s="155">
        <f t="shared" si="76"/>
        <v>0</v>
      </c>
      <c r="AA79" s="156" t="e">
        <f t="shared" si="56"/>
        <v>#N/A</v>
      </c>
      <c r="AB79" s="156" t="e">
        <f t="shared" si="57"/>
        <v>#N/A</v>
      </c>
      <c r="AC79" s="156">
        <f t="shared" si="58"/>
        <v>0</v>
      </c>
      <c r="AD79" s="156" t="e">
        <f t="shared" si="77"/>
        <v>#N/A</v>
      </c>
      <c r="AE79" s="158"/>
      <c r="AF79" s="667" t="s">
        <v>14</v>
      </c>
      <c r="AG79" s="668"/>
      <c r="AH79" s="152">
        <f>EOMONTH(CONCATENATE("01.","01.",$AF$76),2)</f>
        <v>1917</v>
      </c>
      <c r="AI79" s="153">
        <f t="shared" si="59"/>
        <v>0</v>
      </c>
      <c r="AJ79" s="153">
        <f t="shared" si="60"/>
        <v>0</v>
      </c>
      <c r="AK79" s="153">
        <f t="shared" si="61"/>
        <v>0</v>
      </c>
      <c r="AL79" s="677">
        <f t="shared" si="62"/>
        <v>0</v>
      </c>
      <c r="AM79" s="678"/>
      <c r="AN79" s="155" t="str">
        <f t="shared" si="63"/>
        <v/>
      </c>
      <c r="AO79" s="156">
        <f t="shared" si="64"/>
        <v>0</v>
      </c>
      <c r="AP79" s="155">
        <f t="shared" si="78"/>
        <v>0</v>
      </c>
      <c r="AQ79" s="156" t="e">
        <f t="shared" si="65"/>
        <v>#N/A</v>
      </c>
      <c r="AR79" s="156" t="e">
        <f t="shared" si="66"/>
        <v>#N/A</v>
      </c>
      <c r="AS79" s="156">
        <f t="shared" si="67"/>
        <v>0</v>
      </c>
      <c r="AT79" s="156" t="e">
        <f t="shared" si="79"/>
        <v>#N/A</v>
      </c>
    </row>
    <row r="80" spans="2:47" x14ac:dyDescent="0.35">
      <c r="B80" s="151" t="s">
        <v>15</v>
      </c>
      <c r="C80" s="152">
        <f>EOMONTH(CONCATENATE("01.","01.",$B$76),3)</f>
        <v>1216</v>
      </c>
      <c r="D80" s="153">
        <f t="shared" si="68"/>
        <v>0</v>
      </c>
      <c r="E80" s="153">
        <f t="shared" si="69"/>
        <v>0</v>
      </c>
      <c r="F80" s="153">
        <f t="shared" si="70"/>
        <v>0</v>
      </c>
      <c r="G80" s="154">
        <f t="shared" si="71"/>
        <v>0</v>
      </c>
      <c r="H80" s="155" t="str">
        <f t="shared" si="47"/>
        <v/>
      </c>
      <c r="I80" s="156">
        <f t="shared" si="48"/>
        <v>0</v>
      </c>
      <c r="J80" s="155">
        <f t="shared" si="72"/>
        <v>0</v>
      </c>
      <c r="K80" s="156" t="e">
        <f t="shared" si="49"/>
        <v>#N/A</v>
      </c>
      <c r="L80" s="156" t="e">
        <f t="shared" si="50"/>
        <v>#N/A</v>
      </c>
      <c r="M80" s="156">
        <f t="shared" si="51"/>
        <v>0</v>
      </c>
      <c r="N80" s="156" t="e">
        <f t="shared" si="73"/>
        <v>#N/A</v>
      </c>
      <c r="O80" s="157"/>
      <c r="P80" s="667" t="s">
        <v>15</v>
      </c>
      <c r="Q80" s="668"/>
      <c r="R80" s="152">
        <f>EOMONTH(CONCATENATE("01.","01.",$P$76),3)</f>
        <v>1582</v>
      </c>
      <c r="S80" s="153">
        <f t="shared" si="74"/>
        <v>0</v>
      </c>
      <c r="T80" s="153">
        <f t="shared" si="75"/>
        <v>0</v>
      </c>
      <c r="U80" s="153">
        <f t="shared" si="52"/>
        <v>0</v>
      </c>
      <c r="V80" s="677">
        <f t="shared" si="53"/>
        <v>0</v>
      </c>
      <c r="W80" s="678"/>
      <c r="X80" s="155" t="str">
        <f t="shared" si="54"/>
        <v/>
      </c>
      <c r="Y80" s="156">
        <f t="shared" si="55"/>
        <v>0</v>
      </c>
      <c r="Z80" s="155">
        <f t="shared" si="76"/>
        <v>0</v>
      </c>
      <c r="AA80" s="156" t="e">
        <f t="shared" si="56"/>
        <v>#N/A</v>
      </c>
      <c r="AB80" s="156" t="e">
        <f t="shared" si="57"/>
        <v>#N/A</v>
      </c>
      <c r="AC80" s="156">
        <f t="shared" si="58"/>
        <v>0</v>
      </c>
      <c r="AD80" s="156" t="e">
        <f t="shared" si="77"/>
        <v>#N/A</v>
      </c>
      <c r="AE80" s="158"/>
      <c r="AF80" s="667" t="s">
        <v>15</v>
      </c>
      <c r="AG80" s="668"/>
      <c r="AH80" s="152">
        <f>EOMONTH(CONCATENATE("01.","01.",$AF$76),3)</f>
        <v>1947</v>
      </c>
      <c r="AI80" s="153">
        <f t="shared" si="59"/>
        <v>0</v>
      </c>
      <c r="AJ80" s="153">
        <f t="shared" si="60"/>
        <v>0</v>
      </c>
      <c r="AK80" s="153">
        <f t="shared" si="61"/>
        <v>0</v>
      </c>
      <c r="AL80" s="677">
        <f t="shared" si="62"/>
        <v>0</v>
      </c>
      <c r="AM80" s="678"/>
      <c r="AN80" s="155" t="str">
        <f t="shared" si="63"/>
        <v/>
      </c>
      <c r="AO80" s="156">
        <f t="shared" si="64"/>
        <v>0</v>
      </c>
      <c r="AP80" s="155">
        <f t="shared" si="78"/>
        <v>0</v>
      </c>
      <c r="AQ80" s="156" t="e">
        <f t="shared" si="65"/>
        <v>#N/A</v>
      </c>
      <c r="AR80" s="156" t="e">
        <f t="shared" si="66"/>
        <v>#N/A</v>
      </c>
      <c r="AS80" s="156">
        <f t="shared" si="67"/>
        <v>0</v>
      </c>
      <c r="AT80" s="156" t="e">
        <f t="shared" si="79"/>
        <v>#N/A</v>
      </c>
    </row>
    <row r="81" spans="2:47" x14ac:dyDescent="0.35">
      <c r="B81" s="151" t="s">
        <v>16</v>
      </c>
      <c r="C81" s="152">
        <f>EOMONTH(CONCATENATE("01.","01.",$B$76),4)</f>
        <v>1247</v>
      </c>
      <c r="D81" s="153">
        <f t="shared" si="68"/>
        <v>0</v>
      </c>
      <c r="E81" s="153">
        <f t="shared" si="69"/>
        <v>0</v>
      </c>
      <c r="F81" s="153">
        <f t="shared" si="70"/>
        <v>0</v>
      </c>
      <c r="G81" s="154">
        <f t="shared" si="71"/>
        <v>0</v>
      </c>
      <c r="H81" s="155" t="str">
        <f t="shared" si="47"/>
        <v/>
      </c>
      <c r="I81" s="156">
        <f t="shared" si="48"/>
        <v>0</v>
      </c>
      <c r="J81" s="155">
        <f t="shared" si="72"/>
        <v>0</v>
      </c>
      <c r="K81" s="156" t="e">
        <f t="shared" si="49"/>
        <v>#N/A</v>
      </c>
      <c r="L81" s="156" t="e">
        <f t="shared" si="50"/>
        <v>#N/A</v>
      </c>
      <c r="M81" s="156">
        <f t="shared" si="51"/>
        <v>0</v>
      </c>
      <c r="N81" s="156" t="e">
        <f t="shared" si="73"/>
        <v>#N/A</v>
      </c>
      <c r="O81" s="157"/>
      <c r="P81" s="667" t="s">
        <v>16</v>
      </c>
      <c r="Q81" s="668"/>
      <c r="R81" s="152">
        <f>EOMONTH(CONCATENATE("01.","01.",$P$76),4)</f>
        <v>1613</v>
      </c>
      <c r="S81" s="153">
        <f t="shared" si="74"/>
        <v>0</v>
      </c>
      <c r="T81" s="153">
        <f t="shared" si="75"/>
        <v>0</v>
      </c>
      <c r="U81" s="153">
        <f t="shared" si="52"/>
        <v>0</v>
      </c>
      <c r="V81" s="677">
        <f t="shared" si="53"/>
        <v>0</v>
      </c>
      <c r="W81" s="678"/>
      <c r="X81" s="155" t="str">
        <f t="shared" si="54"/>
        <v/>
      </c>
      <c r="Y81" s="156">
        <f t="shared" si="55"/>
        <v>0</v>
      </c>
      <c r="Z81" s="155">
        <f t="shared" si="76"/>
        <v>0</v>
      </c>
      <c r="AA81" s="156" t="e">
        <f t="shared" si="56"/>
        <v>#N/A</v>
      </c>
      <c r="AB81" s="156" t="e">
        <f t="shared" si="57"/>
        <v>#N/A</v>
      </c>
      <c r="AC81" s="156">
        <f t="shared" si="58"/>
        <v>0</v>
      </c>
      <c r="AD81" s="156" t="e">
        <f t="shared" si="77"/>
        <v>#N/A</v>
      </c>
      <c r="AE81" s="158"/>
      <c r="AF81" s="667" t="s">
        <v>16</v>
      </c>
      <c r="AG81" s="668"/>
      <c r="AH81" s="152">
        <f>EOMONTH(CONCATENATE("01.","01.",$AF$76),4)</f>
        <v>1978</v>
      </c>
      <c r="AI81" s="153">
        <f t="shared" si="59"/>
        <v>0</v>
      </c>
      <c r="AJ81" s="153">
        <f t="shared" si="60"/>
        <v>0</v>
      </c>
      <c r="AK81" s="153">
        <f t="shared" si="61"/>
        <v>0</v>
      </c>
      <c r="AL81" s="677">
        <f t="shared" si="62"/>
        <v>0</v>
      </c>
      <c r="AM81" s="678"/>
      <c r="AN81" s="155" t="str">
        <f t="shared" si="63"/>
        <v/>
      </c>
      <c r="AO81" s="156">
        <f t="shared" si="64"/>
        <v>0</v>
      </c>
      <c r="AP81" s="155">
        <f t="shared" si="78"/>
        <v>0</v>
      </c>
      <c r="AQ81" s="156" t="e">
        <f t="shared" si="65"/>
        <v>#N/A</v>
      </c>
      <c r="AR81" s="156" t="e">
        <f t="shared" si="66"/>
        <v>#N/A</v>
      </c>
      <c r="AS81" s="156">
        <f t="shared" si="67"/>
        <v>0</v>
      </c>
      <c r="AT81" s="156" t="e">
        <f t="shared" si="79"/>
        <v>#N/A</v>
      </c>
    </row>
    <row r="82" spans="2:47" x14ac:dyDescent="0.35">
      <c r="B82" s="151" t="s">
        <v>17</v>
      </c>
      <c r="C82" s="152">
        <f>EOMONTH(CONCATENATE("01.","01.",$B$76),5)</f>
        <v>1277</v>
      </c>
      <c r="D82" s="153">
        <f t="shared" si="68"/>
        <v>0</v>
      </c>
      <c r="E82" s="153">
        <f t="shared" si="69"/>
        <v>0</v>
      </c>
      <c r="F82" s="153">
        <f t="shared" si="70"/>
        <v>0</v>
      </c>
      <c r="G82" s="154">
        <f t="shared" si="71"/>
        <v>0</v>
      </c>
      <c r="H82" s="155" t="str">
        <f t="shared" si="47"/>
        <v/>
      </c>
      <c r="I82" s="156">
        <f t="shared" si="48"/>
        <v>0</v>
      </c>
      <c r="J82" s="155">
        <f t="shared" si="72"/>
        <v>0</v>
      </c>
      <c r="K82" s="156" t="e">
        <f t="shared" si="49"/>
        <v>#N/A</v>
      </c>
      <c r="L82" s="156" t="e">
        <f t="shared" si="50"/>
        <v>#N/A</v>
      </c>
      <c r="M82" s="156">
        <f t="shared" si="51"/>
        <v>0</v>
      </c>
      <c r="N82" s="156" t="e">
        <f t="shared" si="73"/>
        <v>#N/A</v>
      </c>
      <c r="O82" s="157"/>
      <c r="P82" s="667" t="s">
        <v>17</v>
      </c>
      <c r="Q82" s="668"/>
      <c r="R82" s="152">
        <f>EOMONTH(CONCATENATE("01.","01.",$P$76),5)</f>
        <v>1643</v>
      </c>
      <c r="S82" s="153">
        <f t="shared" si="74"/>
        <v>0</v>
      </c>
      <c r="T82" s="153">
        <f t="shared" si="75"/>
        <v>0</v>
      </c>
      <c r="U82" s="153">
        <f t="shared" si="52"/>
        <v>0</v>
      </c>
      <c r="V82" s="677">
        <f t="shared" si="53"/>
        <v>0</v>
      </c>
      <c r="W82" s="678"/>
      <c r="X82" s="155" t="str">
        <f t="shared" si="54"/>
        <v/>
      </c>
      <c r="Y82" s="156">
        <f t="shared" si="55"/>
        <v>0</v>
      </c>
      <c r="Z82" s="155">
        <f t="shared" si="76"/>
        <v>0</v>
      </c>
      <c r="AA82" s="156" t="e">
        <f t="shared" si="56"/>
        <v>#N/A</v>
      </c>
      <c r="AB82" s="156" t="e">
        <f t="shared" si="57"/>
        <v>#N/A</v>
      </c>
      <c r="AC82" s="156">
        <f t="shared" si="58"/>
        <v>0</v>
      </c>
      <c r="AD82" s="156" t="e">
        <f t="shared" si="77"/>
        <v>#N/A</v>
      </c>
      <c r="AE82" s="158"/>
      <c r="AF82" s="667" t="s">
        <v>17</v>
      </c>
      <c r="AG82" s="668"/>
      <c r="AH82" s="152">
        <f>EOMONTH(CONCATENATE("01.","01.",$AF$76),5)</f>
        <v>2008</v>
      </c>
      <c r="AI82" s="153">
        <f t="shared" si="59"/>
        <v>0</v>
      </c>
      <c r="AJ82" s="153">
        <f t="shared" si="60"/>
        <v>0</v>
      </c>
      <c r="AK82" s="153">
        <f t="shared" si="61"/>
        <v>0</v>
      </c>
      <c r="AL82" s="677">
        <f t="shared" si="62"/>
        <v>0</v>
      </c>
      <c r="AM82" s="678"/>
      <c r="AN82" s="155" t="str">
        <f t="shared" si="63"/>
        <v/>
      </c>
      <c r="AO82" s="156">
        <f t="shared" si="64"/>
        <v>0</v>
      </c>
      <c r="AP82" s="155">
        <f t="shared" si="78"/>
        <v>0</v>
      </c>
      <c r="AQ82" s="156" t="e">
        <f t="shared" si="65"/>
        <v>#N/A</v>
      </c>
      <c r="AR82" s="156" t="e">
        <f t="shared" si="66"/>
        <v>#N/A</v>
      </c>
      <c r="AS82" s="156">
        <f t="shared" si="67"/>
        <v>0</v>
      </c>
      <c r="AT82" s="156" t="e">
        <f t="shared" si="79"/>
        <v>#N/A</v>
      </c>
    </row>
    <row r="83" spans="2:47" x14ac:dyDescent="0.35">
      <c r="B83" s="151" t="s">
        <v>18</v>
      </c>
      <c r="C83" s="152">
        <f>EOMONTH(CONCATENATE("01.","01.",$B$76),6)</f>
        <v>1308</v>
      </c>
      <c r="D83" s="153">
        <f t="shared" si="68"/>
        <v>0</v>
      </c>
      <c r="E83" s="153">
        <f t="shared" si="69"/>
        <v>0</v>
      </c>
      <c r="F83" s="153">
        <f t="shared" si="70"/>
        <v>0</v>
      </c>
      <c r="G83" s="154">
        <f t="shared" si="71"/>
        <v>0</v>
      </c>
      <c r="H83" s="155" t="str">
        <f t="shared" si="47"/>
        <v/>
      </c>
      <c r="I83" s="156">
        <f t="shared" si="48"/>
        <v>0</v>
      </c>
      <c r="J83" s="155">
        <f t="shared" si="72"/>
        <v>0</v>
      </c>
      <c r="K83" s="156" t="e">
        <f t="shared" si="49"/>
        <v>#N/A</v>
      </c>
      <c r="L83" s="156" t="e">
        <f t="shared" si="50"/>
        <v>#N/A</v>
      </c>
      <c r="M83" s="156">
        <f t="shared" si="51"/>
        <v>0</v>
      </c>
      <c r="N83" s="156" t="e">
        <f t="shared" si="73"/>
        <v>#N/A</v>
      </c>
      <c r="O83" s="157"/>
      <c r="P83" s="667" t="s">
        <v>18</v>
      </c>
      <c r="Q83" s="668"/>
      <c r="R83" s="152">
        <f>EOMONTH(CONCATENATE("01.","01.",$P$76),6)</f>
        <v>1674</v>
      </c>
      <c r="S83" s="153">
        <f t="shared" si="74"/>
        <v>0</v>
      </c>
      <c r="T83" s="153">
        <f t="shared" si="75"/>
        <v>0</v>
      </c>
      <c r="U83" s="153">
        <f t="shared" si="52"/>
        <v>0</v>
      </c>
      <c r="V83" s="677">
        <f t="shared" si="53"/>
        <v>0</v>
      </c>
      <c r="W83" s="678"/>
      <c r="X83" s="155" t="str">
        <f t="shared" si="54"/>
        <v/>
      </c>
      <c r="Y83" s="156">
        <f t="shared" si="55"/>
        <v>0</v>
      </c>
      <c r="Z83" s="155">
        <f t="shared" si="76"/>
        <v>0</v>
      </c>
      <c r="AA83" s="156" t="e">
        <f t="shared" si="56"/>
        <v>#N/A</v>
      </c>
      <c r="AB83" s="156" t="e">
        <f t="shared" si="57"/>
        <v>#N/A</v>
      </c>
      <c r="AC83" s="156">
        <f t="shared" si="58"/>
        <v>0</v>
      </c>
      <c r="AD83" s="156" t="e">
        <f t="shared" si="77"/>
        <v>#N/A</v>
      </c>
      <c r="AE83" s="158"/>
      <c r="AF83" s="667" t="s">
        <v>18</v>
      </c>
      <c r="AG83" s="668"/>
      <c r="AH83" s="152">
        <f>EOMONTH(CONCATENATE("01.","01.",$AF$76),6)</f>
        <v>2039</v>
      </c>
      <c r="AI83" s="153">
        <f t="shared" si="59"/>
        <v>0</v>
      </c>
      <c r="AJ83" s="153">
        <f t="shared" si="60"/>
        <v>0</v>
      </c>
      <c r="AK83" s="153">
        <f t="shared" si="61"/>
        <v>0</v>
      </c>
      <c r="AL83" s="677">
        <f t="shared" si="62"/>
        <v>0</v>
      </c>
      <c r="AM83" s="678"/>
      <c r="AN83" s="155" t="str">
        <f t="shared" si="63"/>
        <v/>
      </c>
      <c r="AO83" s="156">
        <f t="shared" si="64"/>
        <v>0</v>
      </c>
      <c r="AP83" s="155">
        <f t="shared" si="78"/>
        <v>0</v>
      </c>
      <c r="AQ83" s="156" t="e">
        <f t="shared" si="65"/>
        <v>#N/A</v>
      </c>
      <c r="AR83" s="156" t="e">
        <f t="shared" si="66"/>
        <v>#N/A</v>
      </c>
      <c r="AS83" s="156">
        <f t="shared" si="67"/>
        <v>0</v>
      </c>
      <c r="AT83" s="156" t="e">
        <f t="shared" si="79"/>
        <v>#N/A</v>
      </c>
    </row>
    <row r="84" spans="2:47" x14ac:dyDescent="0.35">
      <c r="B84" s="151" t="s">
        <v>19</v>
      </c>
      <c r="C84" s="152">
        <f>EOMONTH(CONCATENATE("01.","01.",$B$76),7)</f>
        <v>1339</v>
      </c>
      <c r="D84" s="153">
        <f t="shared" si="68"/>
        <v>0</v>
      </c>
      <c r="E84" s="153">
        <f t="shared" si="69"/>
        <v>0</v>
      </c>
      <c r="F84" s="153">
        <f t="shared" si="70"/>
        <v>0</v>
      </c>
      <c r="G84" s="154">
        <f t="shared" si="71"/>
        <v>0</v>
      </c>
      <c r="H84" s="155" t="str">
        <f t="shared" si="47"/>
        <v/>
      </c>
      <c r="I84" s="156">
        <f t="shared" si="48"/>
        <v>0</v>
      </c>
      <c r="J84" s="155">
        <f t="shared" si="72"/>
        <v>0</v>
      </c>
      <c r="K84" s="156" t="e">
        <f t="shared" si="49"/>
        <v>#N/A</v>
      </c>
      <c r="L84" s="156" t="e">
        <f t="shared" si="50"/>
        <v>#N/A</v>
      </c>
      <c r="M84" s="156">
        <f t="shared" si="51"/>
        <v>0</v>
      </c>
      <c r="N84" s="156" t="e">
        <f t="shared" si="73"/>
        <v>#N/A</v>
      </c>
      <c r="O84" s="157"/>
      <c r="P84" s="667" t="s">
        <v>19</v>
      </c>
      <c r="Q84" s="668"/>
      <c r="R84" s="152">
        <f>EOMONTH(CONCATENATE("01.","01.",$P$76),7)</f>
        <v>1705</v>
      </c>
      <c r="S84" s="153">
        <f t="shared" si="74"/>
        <v>0</v>
      </c>
      <c r="T84" s="153">
        <f t="shared" si="75"/>
        <v>0</v>
      </c>
      <c r="U84" s="153">
        <f t="shared" si="52"/>
        <v>0</v>
      </c>
      <c r="V84" s="677">
        <f t="shared" si="53"/>
        <v>0</v>
      </c>
      <c r="W84" s="678"/>
      <c r="X84" s="155" t="str">
        <f t="shared" si="54"/>
        <v/>
      </c>
      <c r="Y84" s="156">
        <f t="shared" si="55"/>
        <v>0</v>
      </c>
      <c r="Z84" s="155">
        <f t="shared" si="76"/>
        <v>0</v>
      </c>
      <c r="AA84" s="156" t="e">
        <f t="shared" si="56"/>
        <v>#N/A</v>
      </c>
      <c r="AB84" s="156" t="e">
        <f t="shared" si="57"/>
        <v>#N/A</v>
      </c>
      <c r="AC84" s="156">
        <f t="shared" si="58"/>
        <v>0</v>
      </c>
      <c r="AD84" s="156" t="e">
        <f t="shared" si="77"/>
        <v>#N/A</v>
      </c>
      <c r="AE84" s="158"/>
      <c r="AF84" s="667" t="s">
        <v>19</v>
      </c>
      <c r="AG84" s="668"/>
      <c r="AH84" s="152">
        <f>EOMONTH(CONCATENATE("01.","01.",$AF$76),7)</f>
        <v>2070</v>
      </c>
      <c r="AI84" s="153">
        <f t="shared" si="59"/>
        <v>0</v>
      </c>
      <c r="AJ84" s="153">
        <f t="shared" si="60"/>
        <v>0</v>
      </c>
      <c r="AK84" s="153">
        <f t="shared" si="61"/>
        <v>0</v>
      </c>
      <c r="AL84" s="677">
        <f t="shared" si="62"/>
        <v>0</v>
      </c>
      <c r="AM84" s="678"/>
      <c r="AN84" s="155" t="str">
        <f t="shared" si="63"/>
        <v/>
      </c>
      <c r="AO84" s="156">
        <f t="shared" si="64"/>
        <v>0</v>
      </c>
      <c r="AP84" s="155">
        <f t="shared" si="78"/>
        <v>0</v>
      </c>
      <c r="AQ84" s="156" t="e">
        <f t="shared" si="65"/>
        <v>#N/A</v>
      </c>
      <c r="AR84" s="156" t="e">
        <f t="shared" si="66"/>
        <v>#N/A</v>
      </c>
      <c r="AS84" s="156">
        <f t="shared" si="67"/>
        <v>0</v>
      </c>
      <c r="AT84" s="156" t="e">
        <f t="shared" si="79"/>
        <v>#N/A</v>
      </c>
    </row>
    <row r="85" spans="2:47" x14ac:dyDescent="0.35">
      <c r="B85" s="151" t="s">
        <v>20</v>
      </c>
      <c r="C85" s="152">
        <f>EOMONTH(CONCATENATE("01.","01.",$B$76),8)</f>
        <v>1369</v>
      </c>
      <c r="D85" s="153">
        <f t="shared" si="68"/>
        <v>0</v>
      </c>
      <c r="E85" s="153">
        <f t="shared" si="69"/>
        <v>0</v>
      </c>
      <c r="F85" s="153">
        <f t="shared" si="70"/>
        <v>0</v>
      </c>
      <c r="G85" s="154">
        <f t="shared" si="71"/>
        <v>0</v>
      </c>
      <c r="H85" s="155" t="str">
        <f t="shared" si="47"/>
        <v/>
      </c>
      <c r="I85" s="156">
        <f t="shared" si="48"/>
        <v>0</v>
      </c>
      <c r="J85" s="155">
        <f t="shared" si="72"/>
        <v>0</v>
      </c>
      <c r="K85" s="156" t="e">
        <f t="shared" si="49"/>
        <v>#N/A</v>
      </c>
      <c r="L85" s="156" t="e">
        <f t="shared" si="50"/>
        <v>#N/A</v>
      </c>
      <c r="M85" s="156">
        <f t="shared" si="51"/>
        <v>0</v>
      </c>
      <c r="N85" s="156" t="e">
        <f t="shared" si="73"/>
        <v>#N/A</v>
      </c>
      <c r="O85" s="157"/>
      <c r="P85" s="667" t="s">
        <v>20</v>
      </c>
      <c r="Q85" s="668"/>
      <c r="R85" s="152">
        <f>EOMONTH(CONCATENATE("01.","01.",$P$76),8)</f>
        <v>1735</v>
      </c>
      <c r="S85" s="153">
        <f t="shared" si="74"/>
        <v>0</v>
      </c>
      <c r="T85" s="153">
        <f t="shared" si="75"/>
        <v>0</v>
      </c>
      <c r="U85" s="153">
        <f t="shared" si="52"/>
        <v>0</v>
      </c>
      <c r="V85" s="677">
        <f t="shared" si="53"/>
        <v>0</v>
      </c>
      <c r="W85" s="678"/>
      <c r="X85" s="155" t="str">
        <f t="shared" si="54"/>
        <v/>
      </c>
      <c r="Y85" s="156">
        <f t="shared" si="55"/>
        <v>0</v>
      </c>
      <c r="Z85" s="155">
        <f t="shared" si="76"/>
        <v>0</v>
      </c>
      <c r="AA85" s="156" t="e">
        <f t="shared" si="56"/>
        <v>#N/A</v>
      </c>
      <c r="AB85" s="156" t="e">
        <f t="shared" si="57"/>
        <v>#N/A</v>
      </c>
      <c r="AC85" s="156">
        <f t="shared" si="58"/>
        <v>0</v>
      </c>
      <c r="AD85" s="156" t="e">
        <f t="shared" si="77"/>
        <v>#N/A</v>
      </c>
      <c r="AE85" s="158"/>
      <c r="AF85" s="667" t="s">
        <v>20</v>
      </c>
      <c r="AG85" s="668"/>
      <c r="AH85" s="152">
        <f>EOMONTH(CONCATENATE("01.","01.",$AF$76),8)</f>
        <v>2100</v>
      </c>
      <c r="AI85" s="153">
        <f t="shared" si="59"/>
        <v>0</v>
      </c>
      <c r="AJ85" s="153">
        <f t="shared" si="60"/>
        <v>0</v>
      </c>
      <c r="AK85" s="153">
        <f t="shared" si="61"/>
        <v>0</v>
      </c>
      <c r="AL85" s="677">
        <f t="shared" si="62"/>
        <v>0</v>
      </c>
      <c r="AM85" s="678"/>
      <c r="AN85" s="155" t="str">
        <f t="shared" si="63"/>
        <v/>
      </c>
      <c r="AO85" s="156">
        <f t="shared" si="64"/>
        <v>0</v>
      </c>
      <c r="AP85" s="155">
        <f t="shared" si="78"/>
        <v>0</v>
      </c>
      <c r="AQ85" s="156" t="e">
        <f t="shared" si="65"/>
        <v>#N/A</v>
      </c>
      <c r="AR85" s="156" t="e">
        <f t="shared" si="66"/>
        <v>#N/A</v>
      </c>
      <c r="AS85" s="156">
        <f t="shared" si="67"/>
        <v>0</v>
      </c>
      <c r="AT85" s="156" t="e">
        <f t="shared" si="79"/>
        <v>#N/A</v>
      </c>
    </row>
    <row r="86" spans="2:47" x14ac:dyDescent="0.35">
      <c r="B86" s="151" t="s">
        <v>21</v>
      </c>
      <c r="C86" s="152">
        <f>EOMONTH(CONCATENATE("01.","01.",$B$76),9)</f>
        <v>1400</v>
      </c>
      <c r="D86" s="153">
        <f t="shared" si="68"/>
        <v>0</v>
      </c>
      <c r="E86" s="153">
        <f t="shared" si="69"/>
        <v>0</v>
      </c>
      <c r="F86" s="153">
        <f t="shared" si="70"/>
        <v>0</v>
      </c>
      <c r="G86" s="154">
        <f t="shared" si="71"/>
        <v>0</v>
      </c>
      <c r="H86" s="155" t="str">
        <f t="shared" ref="H86:H88" si="80">IF(AND(SUM(D86:F86)=30,F86&gt;0),$N$38*$N$42,IF(AND(SUM(D86:F86)=30,E86&gt;0),$L$38*$L$42,IF(AND(SUM(D86:F86)=30,D86&gt;0),$J$38*$J$42,"")))</f>
        <v/>
      </c>
      <c r="I86" s="156">
        <f t="shared" si="48"/>
        <v>0</v>
      </c>
      <c r="J86" s="155">
        <f t="shared" si="72"/>
        <v>0</v>
      </c>
      <c r="K86" s="156" t="e">
        <f t="shared" si="49"/>
        <v>#N/A</v>
      </c>
      <c r="L86" s="156" t="e">
        <f t="shared" si="50"/>
        <v>#N/A</v>
      </c>
      <c r="M86" s="156">
        <f t="shared" si="51"/>
        <v>0</v>
      </c>
      <c r="N86" s="156" t="e">
        <f t="shared" si="73"/>
        <v>#N/A</v>
      </c>
      <c r="O86" s="157"/>
      <c r="P86" s="667" t="s">
        <v>21</v>
      </c>
      <c r="Q86" s="668"/>
      <c r="R86" s="152">
        <f>EOMONTH(CONCATENATE("01.","01.",$P$76),9)</f>
        <v>1766</v>
      </c>
      <c r="S86" s="153">
        <f t="shared" si="74"/>
        <v>0</v>
      </c>
      <c r="T86" s="153">
        <f t="shared" si="75"/>
        <v>0</v>
      </c>
      <c r="U86" s="153">
        <f t="shared" si="52"/>
        <v>0</v>
      </c>
      <c r="V86" s="677">
        <f t="shared" si="53"/>
        <v>0</v>
      </c>
      <c r="W86" s="678"/>
      <c r="X86" s="155" t="str">
        <f t="shared" ref="X86:X88" si="81">IF(AND(SUM(S86:U86)=30,U86&gt;0),$Z$38*$Z$42,IF(AND(SUM(S86:U86)=30,T86&gt;0),$V$38*$V$42,IF(AND(SUM(S86:U86)=30,S86&gt;0),$P$38*$P$42,"")))</f>
        <v/>
      </c>
      <c r="Y86" s="156">
        <f t="shared" si="55"/>
        <v>0</v>
      </c>
      <c r="Z86" s="155">
        <f t="shared" si="76"/>
        <v>0</v>
      </c>
      <c r="AA86" s="156" t="e">
        <f t="shared" si="56"/>
        <v>#N/A</v>
      </c>
      <c r="AB86" s="156" t="e">
        <f t="shared" si="57"/>
        <v>#N/A</v>
      </c>
      <c r="AC86" s="156">
        <f t="shared" si="58"/>
        <v>0</v>
      </c>
      <c r="AD86" s="156" t="e">
        <f t="shared" si="77"/>
        <v>#N/A</v>
      </c>
      <c r="AE86" s="158"/>
      <c r="AF86" s="667" t="s">
        <v>21</v>
      </c>
      <c r="AG86" s="668"/>
      <c r="AH86" s="152">
        <f>EOMONTH(CONCATENATE("01.","01.",$AF$76),9)</f>
        <v>2131</v>
      </c>
      <c r="AI86" s="153">
        <f t="shared" si="59"/>
        <v>0</v>
      </c>
      <c r="AJ86" s="153">
        <f t="shared" si="60"/>
        <v>0</v>
      </c>
      <c r="AK86" s="153">
        <f t="shared" si="61"/>
        <v>0</v>
      </c>
      <c r="AL86" s="677">
        <f t="shared" si="62"/>
        <v>0</v>
      </c>
      <c r="AM86" s="678"/>
      <c r="AN86" s="155" t="str">
        <f t="shared" si="63"/>
        <v/>
      </c>
      <c r="AO86" s="156">
        <f t="shared" si="64"/>
        <v>0</v>
      </c>
      <c r="AP86" s="155">
        <f t="shared" si="78"/>
        <v>0</v>
      </c>
      <c r="AQ86" s="156" t="e">
        <f t="shared" si="65"/>
        <v>#N/A</v>
      </c>
      <c r="AR86" s="156" t="e">
        <f t="shared" si="66"/>
        <v>#N/A</v>
      </c>
      <c r="AS86" s="156">
        <f t="shared" si="67"/>
        <v>0</v>
      </c>
      <c r="AT86" s="156" t="e">
        <f t="shared" si="79"/>
        <v>#N/A</v>
      </c>
    </row>
    <row r="87" spans="2:47" x14ac:dyDescent="0.35">
      <c r="B87" s="151" t="s">
        <v>22</v>
      </c>
      <c r="C87" s="152">
        <f>EOMONTH(CONCATENATE("01.","01.",$B$76),10)</f>
        <v>1430</v>
      </c>
      <c r="D87" s="153">
        <f t="shared" si="68"/>
        <v>0</v>
      </c>
      <c r="E87" s="153">
        <f t="shared" si="69"/>
        <v>0</v>
      </c>
      <c r="F87" s="153">
        <f t="shared" si="70"/>
        <v>0</v>
      </c>
      <c r="G87" s="154">
        <f t="shared" si="71"/>
        <v>0</v>
      </c>
      <c r="H87" s="155" t="str">
        <f t="shared" si="80"/>
        <v/>
      </c>
      <c r="I87" s="156">
        <f t="shared" si="48"/>
        <v>0</v>
      </c>
      <c r="J87" s="155">
        <f t="shared" si="72"/>
        <v>0</v>
      </c>
      <c r="K87" s="156" t="e">
        <f t="shared" si="49"/>
        <v>#N/A</v>
      </c>
      <c r="L87" s="156" t="e">
        <f t="shared" si="50"/>
        <v>#N/A</v>
      </c>
      <c r="M87" s="156">
        <f t="shared" si="51"/>
        <v>0</v>
      </c>
      <c r="N87" s="156" t="e">
        <f t="shared" si="73"/>
        <v>#N/A</v>
      </c>
      <c r="O87" s="157"/>
      <c r="P87" s="667" t="s">
        <v>22</v>
      </c>
      <c r="Q87" s="668"/>
      <c r="R87" s="152">
        <f>EOMONTH(CONCATENATE("01.","01.",$P$76),10)</f>
        <v>1796</v>
      </c>
      <c r="S87" s="153">
        <f t="shared" si="74"/>
        <v>0</v>
      </c>
      <c r="T87" s="153">
        <f t="shared" si="75"/>
        <v>0</v>
      </c>
      <c r="U87" s="153">
        <f t="shared" si="52"/>
        <v>0</v>
      </c>
      <c r="V87" s="677">
        <f t="shared" si="53"/>
        <v>0</v>
      </c>
      <c r="W87" s="678"/>
      <c r="X87" s="155" t="str">
        <f t="shared" si="81"/>
        <v/>
      </c>
      <c r="Y87" s="156">
        <f t="shared" si="55"/>
        <v>0</v>
      </c>
      <c r="Z87" s="155">
        <f t="shared" si="76"/>
        <v>0</v>
      </c>
      <c r="AA87" s="156" t="e">
        <f t="shared" si="56"/>
        <v>#N/A</v>
      </c>
      <c r="AB87" s="156" t="e">
        <f t="shared" si="57"/>
        <v>#N/A</v>
      </c>
      <c r="AC87" s="156">
        <f t="shared" si="58"/>
        <v>0</v>
      </c>
      <c r="AD87" s="156" t="e">
        <f t="shared" si="77"/>
        <v>#N/A</v>
      </c>
      <c r="AE87" s="158"/>
      <c r="AF87" s="667" t="s">
        <v>22</v>
      </c>
      <c r="AG87" s="668"/>
      <c r="AH87" s="152">
        <f>EOMONTH(CONCATENATE("01.","01.",$AF$76),10)</f>
        <v>2161</v>
      </c>
      <c r="AI87" s="153">
        <f t="shared" si="59"/>
        <v>0</v>
      </c>
      <c r="AJ87" s="153">
        <f t="shared" si="60"/>
        <v>0</v>
      </c>
      <c r="AK87" s="153">
        <f t="shared" si="61"/>
        <v>0</v>
      </c>
      <c r="AL87" s="677">
        <f t="shared" si="62"/>
        <v>0</v>
      </c>
      <c r="AM87" s="678"/>
      <c r="AN87" s="155" t="str">
        <f t="shared" si="63"/>
        <v/>
      </c>
      <c r="AO87" s="156">
        <f t="shared" si="64"/>
        <v>0</v>
      </c>
      <c r="AP87" s="155">
        <f t="shared" si="78"/>
        <v>0</v>
      </c>
      <c r="AQ87" s="156" t="e">
        <f t="shared" si="65"/>
        <v>#N/A</v>
      </c>
      <c r="AR87" s="156" t="e">
        <f t="shared" si="66"/>
        <v>#N/A</v>
      </c>
      <c r="AS87" s="156">
        <f t="shared" si="67"/>
        <v>0</v>
      </c>
      <c r="AT87" s="156" t="e">
        <f t="shared" si="79"/>
        <v>#N/A</v>
      </c>
    </row>
    <row r="88" spans="2:47" ht="16.5" thickBot="1" x14ac:dyDescent="0.4">
      <c r="B88" s="151" t="s">
        <v>23</v>
      </c>
      <c r="C88" s="152">
        <f>EOMONTH(CONCATENATE("01.","01.",$B$76),11)</f>
        <v>1461</v>
      </c>
      <c r="D88" s="153">
        <f t="shared" si="68"/>
        <v>0</v>
      </c>
      <c r="E88" s="153">
        <f t="shared" si="69"/>
        <v>0</v>
      </c>
      <c r="F88" s="153">
        <f t="shared" si="70"/>
        <v>0</v>
      </c>
      <c r="G88" s="154">
        <f t="shared" si="71"/>
        <v>0</v>
      </c>
      <c r="H88" s="155" t="str">
        <f t="shared" si="80"/>
        <v/>
      </c>
      <c r="I88" s="156">
        <f t="shared" si="48"/>
        <v>0</v>
      </c>
      <c r="J88" s="155">
        <f t="shared" si="72"/>
        <v>0</v>
      </c>
      <c r="K88" s="156" t="e">
        <f t="shared" si="49"/>
        <v>#N/A</v>
      </c>
      <c r="L88" s="156" t="e">
        <f t="shared" si="50"/>
        <v>#N/A</v>
      </c>
      <c r="M88" s="156">
        <f t="shared" si="51"/>
        <v>0</v>
      </c>
      <c r="N88" s="156" t="e">
        <f t="shared" si="73"/>
        <v>#N/A</v>
      </c>
      <c r="O88" s="157"/>
      <c r="P88" s="667" t="s">
        <v>23</v>
      </c>
      <c r="Q88" s="668"/>
      <c r="R88" s="152">
        <f>EOMONTH(CONCATENATE("01.","01.",$P$76),11)</f>
        <v>1827</v>
      </c>
      <c r="S88" s="153">
        <f t="shared" si="74"/>
        <v>0</v>
      </c>
      <c r="T88" s="153">
        <f t="shared" si="75"/>
        <v>0</v>
      </c>
      <c r="U88" s="153">
        <f t="shared" si="52"/>
        <v>0</v>
      </c>
      <c r="V88" s="677">
        <f t="shared" si="53"/>
        <v>0</v>
      </c>
      <c r="W88" s="678"/>
      <c r="X88" s="155" t="str">
        <f t="shared" si="81"/>
        <v/>
      </c>
      <c r="Y88" s="156">
        <f t="shared" si="55"/>
        <v>0</v>
      </c>
      <c r="Z88" s="155">
        <f t="shared" si="76"/>
        <v>0</v>
      </c>
      <c r="AA88" s="156" t="e">
        <f t="shared" si="56"/>
        <v>#N/A</v>
      </c>
      <c r="AB88" s="156" t="e">
        <f t="shared" si="57"/>
        <v>#N/A</v>
      </c>
      <c r="AC88" s="156">
        <f t="shared" si="58"/>
        <v>0</v>
      </c>
      <c r="AD88" s="156" t="e">
        <f t="shared" si="77"/>
        <v>#N/A</v>
      </c>
      <c r="AE88" s="158"/>
      <c r="AF88" s="667" t="s">
        <v>23</v>
      </c>
      <c r="AG88" s="668"/>
      <c r="AH88" s="152">
        <f>EOMONTH(CONCATENATE("01.","01.",$AF$76),11)</f>
        <v>2192</v>
      </c>
      <c r="AI88" s="153">
        <f t="shared" si="59"/>
        <v>0</v>
      </c>
      <c r="AJ88" s="153">
        <f t="shared" si="60"/>
        <v>0</v>
      </c>
      <c r="AK88" s="153">
        <f t="shared" si="61"/>
        <v>0</v>
      </c>
      <c r="AL88" s="677">
        <f t="shared" si="62"/>
        <v>0</v>
      </c>
      <c r="AM88" s="678"/>
      <c r="AN88" s="155" t="str">
        <f t="shared" si="63"/>
        <v/>
      </c>
      <c r="AO88" s="156">
        <f t="shared" si="64"/>
        <v>0</v>
      </c>
      <c r="AP88" s="155">
        <f t="shared" si="78"/>
        <v>0</v>
      </c>
      <c r="AQ88" s="156" t="e">
        <f t="shared" si="65"/>
        <v>#N/A</v>
      </c>
      <c r="AR88" s="156" t="e">
        <f t="shared" si="66"/>
        <v>#N/A</v>
      </c>
      <c r="AS88" s="156">
        <f t="shared" si="67"/>
        <v>0</v>
      </c>
      <c r="AT88" s="156" t="e">
        <f t="shared" si="79"/>
        <v>#N/A</v>
      </c>
    </row>
    <row r="89" spans="2:47" ht="16.5" thickBot="1" x14ac:dyDescent="0.4">
      <c r="B89" s="187" t="s">
        <v>24</v>
      </c>
      <c r="C89" s="187"/>
      <c r="D89" s="187"/>
      <c r="E89" s="187"/>
      <c r="F89" s="187"/>
      <c r="G89" s="188">
        <f>SUM(G77:G88)</f>
        <v>0</v>
      </c>
      <c r="H89" s="189"/>
      <c r="I89" s="189">
        <f t="shared" ref="I89:N89" si="82">SUM(I77:I88)</f>
        <v>0</v>
      </c>
      <c r="J89" s="189">
        <f t="shared" si="82"/>
        <v>0</v>
      </c>
      <c r="K89" s="189" t="e">
        <f t="shared" si="82"/>
        <v>#N/A</v>
      </c>
      <c r="L89" s="189" t="e">
        <f t="shared" si="82"/>
        <v>#N/A</v>
      </c>
      <c r="M89" s="189">
        <f t="shared" si="82"/>
        <v>0</v>
      </c>
      <c r="N89" s="189" t="e">
        <f t="shared" si="82"/>
        <v>#N/A</v>
      </c>
      <c r="O89" s="450" t="s">
        <v>83</v>
      </c>
      <c r="P89" s="765" t="s">
        <v>24</v>
      </c>
      <c r="Q89" s="766"/>
      <c r="R89" s="190"/>
      <c r="S89" s="190"/>
      <c r="T89" s="190"/>
      <c r="U89" s="190"/>
      <c r="V89" s="763">
        <f>SUM(V77:V88)</f>
        <v>0</v>
      </c>
      <c r="W89" s="764"/>
      <c r="X89" s="191"/>
      <c r="Y89" s="191">
        <f t="shared" ref="Y89:AD89" si="83">SUM(Y77:Y88)</f>
        <v>0</v>
      </c>
      <c r="Z89" s="191">
        <f t="shared" si="83"/>
        <v>0</v>
      </c>
      <c r="AA89" s="191" t="e">
        <f t="shared" si="83"/>
        <v>#N/A</v>
      </c>
      <c r="AB89" s="191" t="e">
        <f t="shared" si="83"/>
        <v>#N/A</v>
      </c>
      <c r="AC89" s="191">
        <f t="shared" si="83"/>
        <v>0</v>
      </c>
      <c r="AD89" s="191" t="e">
        <f t="shared" si="83"/>
        <v>#N/A</v>
      </c>
      <c r="AE89" s="450" t="s">
        <v>83</v>
      </c>
      <c r="AF89" s="759" t="s">
        <v>24</v>
      </c>
      <c r="AG89" s="760"/>
      <c r="AH89" s="192"/>
      <c r="AI89" s="192"/>
      <c r="AJ89" s="192"/>
      <c r="AK89" s="192"/>
      <c r="AL89" s="761">
        <f>SUM(AL77:AL88)</f>
        <v>0</v>
      </c>
      <c r="AM89" s="762"/>
      <c r="AN89" s="193"/>
      <c r="AO89" s="193">
        <f t="shared" ref="AO89:AT89" si="84">SUM(AO77:AO88)</f>
        <v>0</v>
      </c>
      <c r="AP89" s="193">
        <f t="shared" si="84"/>
        <v>0</v>
      </c>
      <c r="AQ89" s="193" t="e">
        <f t="shared" si="84"/>
        <v>#N/A</v>
      </c>
      <c r="AR89" s="193" t="e">
        <f t="shared" si="84"/>
        <v>#N/A</v>
      </c>
      <c r="AS89" s="193">
        <f t="shared" si="84"/>
        <v>0</v>
      </c>
      <c r="AT89" s="193" t="e">
        <f t="shared" si="84"/>
        <v>#N/A</v>
      </c>
      <c r="AU89" s="450" t="s">
        <v>83</v>
      </c>
    </row>
    <row r="90" spans="2:47" ht="16.5" thickBot="1" x14ac:dyDescent="0.4">
      <c r="B90" s="137"/>
      <c r="C90" s="137"/>
      <c r="D90" s="137"/>
      <c r="E90" s="137"/>
      <c r="F90" s="137"/>
      <c r="G90" s="166" t="s">
        <v>25</v>
      </c>
      <c r="H90" s="167" t="e">
        <f>IF(AND(J43="ja",$X$6=TRUE),(AVERAGE(H83:H88))/12*COUNTIFS(G77:G88,"&gt;0"),IF(AND($X$6=TRUE,J43="nein"),(AVERAGE(H77:H88)/12)*COUNTIFS(G77:G88,"&gt;0"),IF(AND(OR($X$6="",$X$6=FALSE),J43="ja"),(AVERAGE(H83:H88))/12*COUNTIFS(G77:G88,"&gt;0"),0)))</f>
        <v>#DIV/0!</v>
      </c>
      <c r="I90" s="167"/>
      <c r="J90" s="249">
        <f t="shared" ref="J90" si="85">IFERROR((SUM(J77:J88)/COUNTIFS(J77:J88,"&gt;0")),0)</f>
        <v>0</v>
      </c>
      <c r="K90" s="249" t="e">
        <f>J90*AGBTR_Jahr4</f>
        <v>#N/A</v>
      </c>
      <c r="L90" s="249" t="e">
        <f>J90*VZunbDM4</f>
        <v>#N/A</v>
      </c>
      <c r="M90" s="447" t="s">
        <v>182</v>
      </c>
      <c r="N90" s="448" t="e">
        <f>SUM(J90:L90)</f>
        <v>#N/A</v>
      </c>
      <c r="O90" s="449" t="e">
        <f>N90*COUNTIFS(J77:J88,"&gt;0")</f>
        <v>#N/A</v>
      </c>
      <c r="V90" s="685" t="s">
        <v>25</v>
      </c>
      <c r="W90" s="686"/>
      <c r="X90" s="167" t="e">
        <f>IF(AND(P43="ja",$X$6=TRUE),(AVERAGE(X83:X88))/12*COUNTIFS(V77:W88,"&gt;0"),IF(AND($X$6=TRUE,P43="nein"),(AVERAGE(X77:X88)/12)*COUNTIFS(V77:W88,"&gt;0"),IF(AND(OR($X$6="",$X$6=FALSE),P43="ja"),(AVERAGE(X83:X88))/12*COUNTIFS(V77:W88,"&gt;0"),0)))</f>
        <v>#DIV/0!</v>
      </c>
      <c r="Y90" s="167"/>
      <c r="Z90" s="249">
        <f t="shared" ref="Z90" si="86">IFERROR((SUM(Z77:Z88)/COUNTIFS(Z77:Z88,"&gt;0")),0)</f>
        <v>0</v>
      </c>
      <c r="AA90" s="249" t="e">
        <f>Z90*AGBTR_Jahr5</f>
        <v>#N/A</v>
      </c>
      <c r="AB90" s="249" t="e">
        <f>Z90*VZunbDM5</f>
        <v>#N/A</v>
      </c>
      <c r="AC90" s="447" t="s">
        <v>182</v>
      </c>
      <c r="AD90" s="448" t="e">
        <f>SUM(Z90:AB90)</f>
        <v>#N/A</v>
      </c>
      <c r="AE90" s="449" t="e">
        <f>AD90*COUNTIFS(Z77:Z88,"&gt;0")</f>
        <v>#N/A</v>
      </c>
      <c r="AL90" s="685" t="s">
        <v>25</v>
      </c>
      <c r="AM90" s="686"/>
      <c r="AN90" s="167" t="e">
        <f>IF(AND(AB43="ja",$X$6=TRUE),(AVERAGE(AN83:AN88))/12*COUNTIFS(AL77:AM88,"&gt;0"),IF(AND($X$6=TRUE,AB43="nein"),(AVERAGE(AN77:AN88)/12)*COUNTIFS(AL77:AM88,"&gt;0"),IF(AND(OR($X$6="",$X$6=FALSE),AB43="ja"),(AVERAGE(AN83:AN88))/12*COUNTIFS(AL77:AM88,"&gt;0"),0)))</f>
        <v>#DIV/0!</v>
      </c>
      <c r="AO90" s="167"/>
      <c r="AP90" s="249">
        <f t="shared" ref="AP90" si="87">IFERROR((SUM(AP77:AP88)/COUNTIFS(AP77:AP88,"&gt;0")),0)</f>
        <v>0</v>
      </c>
      <c r="AQ90" s="249" t="e">
        <f>AP90*AGBTR_Jahr3</f>
        <v>#N/A</v>
      </c>
      <c r="AR90" s="249" t="e">
        <f>AP90*VZunbDM3</f>
        <v>#N/A</v>
      </c>
      <c r="AS90" s="447" t="s">
        <v>182</v>
      </c>
      <c r="AT90" s="448" t="e">
        <f>SUM(AP90:AR90)</f>
        <v>#N/A</v>
      </c>
      <c r="AU90" s="449" t="e">
        <f>AT90*COUNTIFS(AP77:AP88,"&gt;0")</f>
        <v>#N/A</v>
      </c>
    </row>
    <row r="91" spans="2:47" x14ac:dyDescent="0.35">
      <c r="Q91" s="138"/>
      <c r="R91" s="138"/>
      <c r="S91" s="138"/>
      <c r="T91" s="138"/>
      <c r="U91" s="138"/>
    </row>
    <row r="92" spans="2:47" ht="16.5" hidden="1" outlineLevel="1" thickBot="1" x14ac:dyDescent="0.4">
      <c r="B92" s="169" t="s">
        <v>107</v>
      </c>
      <c r="C92" s="169"/>
      <c r="D92" s="169"/>
      <c r="E92" s="169"/>
      <c r="F92" s="169"/>
      <c r="G92" s="170">
        <f>IFERROR((SUM(G77:G88)/COUNTIFS(G77:G88,"&gt;0")),0)</f>
        <v>0</v>
      </c>
      <c r="H92" s="171">
        <f>IFERROR((SUM(H78:H89)/COUNTIFS(H78:H89,"&gt;0")),0)</f>
        <v>0</v>
      </c>
      <c r="I92" s="171"/>
      <c r="J92" s="171">
        <f>IFERROR((SUM(J77:J88)/COUNTIFS(J77:J88,"&gt;0")),0)</f>
        <v>0</v>
      </c>
      <c r="K92" s="171">
        <f t="shared" ref="K92:N92" si="88">IFERROR((SUM(K77:K88)/COUNTIFS(K77:K88,"&gt;0")),0)</f>
        <v>0</v>
      </c>
      <c r="L92" s="171">
        <f t="shared" si="88"/>
        <v>0</v>
      </c>
      <c r="M92" s="171">
        <f t="shared" si="88"/>
        <v>0</v>
      </c>
      <c r="N92" s="171">
        <f t="shared" si="88"/>
        <v>0</v>
      </c>
      <c r="O92" s="149"/>
      <c r="P92" s="681" t="s">
        <v>103</v>
      </c>
      <c r="Q92" s="682"/>
      <c r="R92" s="172"/>
      <c r="S92" s="172"/>
      <c r="T92" s="172"/>
      <c r="U92" s="172"/>
      <c r="V92" s="683">
        <f>IFERROR((SUM(V77:W88)/COUNTIFS(V77:W88,"&gt;0")),0)</f>
        <v>0</v>
      </c>
      <c r="W92" s="684"/>
      <c r="X92" s="173" t="e">
        <f>IF($AD$8="ja",((AVERAGE(X78:X89))/12)*COUNTIFS(V78:W89,"&gt;0"),((AVERAGE(X84:X89))/12)*COUNTIFS(V78:W89,"&gt;0"))</f>
        <v>#DIV/0!</v>
      </c>
      <c r="Y92" s="173"/>
      <c r="Z92" s="171">
        <f>IFERROR((SUM(Z77:Z88)/COUNTIFS(Z77:Z88,"&gt;0")),0)</f>
        <v>0</v>
      </c>
      <c r="AA92" s="171">
        <f t="shared" ref="AA92:AD92" si="89">IFERROR((SUM(AA77:AA88)/COUNTIFS(AA77:AA88,"&gt;0")),0)</f>
        <v>0</v>
      </c>
      <c r="AB92" s="171">
        <f t="shared" si="89"/>
        <v>0</v>
      </c>
      <c r="AC92" s="171">
        <f t="shared" si="89"/>
        <v>0</v>
      </c>
      <c r="AD92" s="171">
        <f t="shared" si="89"/>
        <v>0</v>
      </c>
      <c r="AF92" s="681" t="s">
        <v>103</v>
      </c>
      <c r="AG92" s="682"/>
      <c r="AH92" s="172"/>
      <c r="AI92" s="172"/>
      <c r="AJ92" s="172"/>
      <c r="AK92" s="172"/>
      <c r="AL92" s="683">
        <f>IFERROR((SUM(AL77:AM88)/COUNTIFS(AL77:AM88,"&gt;0")),0)</f>
        <v>0</v>
      </c>
      <c r="AM92" s="684"/>
      <c r="AN92" s="173" t="e">
        <f>IF($AD$8="ja",((AVERAGE(AN78:AN89))/12)*COUNTIFS(AL78:AM89,"&gt;0"),((AVERAGE(AN84:AN89))/12)*COUNTIFS(AL78:AM89,"&gt;0"))</f>
        <v>#DIV/0!</v>
      </c>
      <c r="AO92" s="173"/>
      <c r="AP92" s="171">
        <f>IFERROR((SUM(AP77:AP88)/COUNTIFS(AP77:AP88,"&gt;0")),0)</f>
        <v>0</v>
      </c>
      <c r="AQ92" s="171">
        <f t="shared" ref="AQ92:AT92" si="90">IFERROR((SUM(AQ77:AQ88)/COUNTIFS(AQ77:AQ88,"&gt;0")),0)</f>
        <v>0</v>
      </c>
      <c r="AR92" s="171">
        <f t="shared" si="90"/>
        <v>0</v>
      </c>
      <c r="AS92" s="171">
        <f t="shared" si="90"/>
        <v>0</v>
      </c>
      <c r="AT92" s="171">
        <f t="shared" si="90"/>
        <v>0</v>
      </c>
    </row>
    <row r="93" spans="2:47" collapsed="1" x14ac:dyDescent="0.35"/>
    <row r="96" spans="2:47" ht="45.75" customHeight="1" thickBot="1" x14ac:dyDescent="0.4">
      <c r="B96" s="666" t="s">
        <v>178</v>
      </c>
      <c r="C96" s="666"/>
      <c r="D96" s="666"/>
      <c r="E96" s="666"/>
      <c r="F96" s="666"/>
      <c r="G96" s="666"/>
      <c r="H96" s="666"/>
      <c r="I96" s="666"/>
      <c r="J96" s="666"/>
      <c r="K96" s="666"/>
      <c r="L96" s="666"/>
      <c r="P96" s="691" t="s">
        <v>26</v>
      </c>
      <c r="Q96" s="691"/>
      <c r="R96" s="691"/>
      <c r="S96" s="691"/>
      <c r="T96" s="691"/>
      <c r="U96" s="691"/>
      <c r="V96" s="691"/>
      <c r="W96" s="691"/>
      <c r="X96" s="204"/>
      <c r="Y96" s="204"/>
      <c r="Z96" s="690" t="e">
        <f>AD89+N89+AD69+N69+AT69+AT89</f>
        <v>#N/A</v>
      </c>
      <c r="AA96" s="690"/>
      <c r="AB96" s="690"/>
      <c r="AC96" s="690"/>
    </row>
    <row r="97" spans="16:28" ht="16.5" thickTop="1" x14ac:dyDescent="0.35"/>
    <row r="99" spans="16:28" ht="19.5" customHeight="1" x14ac:dyDescent="0.35"/>
    <row r="102" spans="16:28" ht="16.5" thickBot="1" x14ac:dyDescent="0.4"/>
    <row r="103" spans="16:28" ht="42.75" customHeight="1" thickBot="1" x14ac:dyDescent="0.4">
      <c r="P103" s="250" t="s">
        <v>58</v>
      </c>
      <c r="Q103" s="250" t="s">
        <v>59</v>
      </c>
      <c r="R103" s="251"/>
      <c r="S103" s="251"/>
      <c r="T103" s="251"/>
      <c r="U103" s="251"/>
      <c r="V103" s="451" t="s">
        <v>60</v>
      </c>
      <c r="W103" s="252" t="s">
        <v>85</v>
      </c>
      <c r="X103" s="250"/>
      <c r="Y103" s="250"/>
      <c r="Z103" s="252" t="s">
        <v>61</v>
      </c>
      <c r="AA103" s="252" t="s">
        <v>62</v>
      </c>
      <c r="AB103" s="253" t="s">
        <v>63</v>
      </c>
    </row>
    <row r="104" spans="16:28" x14ac:dyDescent="0.35">
      <c r="P104" s="222">
        <f>$J$20</f>
        <v>1900</v>
      </c>
      <c r="Q104" s="254" t="e">
        <f>G55</f>
        <v>#NUM!</v>
      </c>
      <c r="R104" s="255"/>
      <c r="S104" s="256"/>
      <c r="T104" s="256"/>
      <c r="U104" s="257"/>
      <c r="V104" s="275">
        <f>IF(ISERROR((N69-O70)/Q104),0,((N69-O70)/Q104))</f>
        <v>0</v>
      </c>
      <c r="W104" s="452" t="e">
        <f>Q104*V104</f>
        <v>#NUM!</v>
      </c>
      <c r="X104" s="258"/>
      <c r="Y104" s="258"/>
      <c r="Z104" s="455" t="e">
        <f>N70</f>
        <v>#N/A</v>
      </c>
      <c r="AA104" s="458" t="e">
        <f>Q104*Z104</f>
        <v>#NUM!</v>
      </c>
      <c r="AB104" s="458" t="e">
        <f>W104+AA104</f>
        <v>#NUM!</v>
      </c>
    </row>
    <row r="105" spans="16:28" x14ac:dyDescent="0.35">
      <c r="P105" s="223">
        <f>P104+1</f>
        <v>1901</v>
      </c>
      <c r="Q105" s="259">
        <f>V55</f>
        <v>0</v>
      </c>
      <c r="R105" s="260"/>
      <c r="S105" s="261"/>
      <c r="T105" s="261"/>
      <c r="U105" s="262"/>
      <c r="V105" s="276">
        <f>IF(ISERROR((AD69-AE70)/Q105),0,((AD69-AE70)/Q105))</f>
        <v>0</v>
      </c>
      <c r="W105" s="453">
        <f t="shared" ref="W105:W109" si="91">Q105*V105</f>
        <v>0</v>
      </c>
      <c r="X105" s="263"/>
      <c r="Y105" s="263"/>
      <c r="Z105" s="456" t="e">
        <f>AD70</f>
        <v>#N/A</v>
      </c>
      <c r="AA105" s="459" t="e">
        <f t="shared" ref="AA105:AA109" si="92">Q105*Z105</f>
        <v>#N/A</v>
      </c>
      <c r="AB105" s="459" t="e">
        <f t="shared" ref="AB105:AB109" si="93">W105+AA105</f>
        <v>#N/A</v>
      </c>
    </row>
    <row r="106" spans="16:28" x14ac:dyDescent="0.35">
      <c r="P106" s="223">
        <f t="shared" ref="P106:P109" si="94">P105+1</f>
        <v>1902</v>
      </c>
      <c r="Q106" s="259">
        <f>AL55</f>
        <v>0</v>
      </c>
      <c r="R106" s="260"/>
      <c r="S106" s="261"/>
      <c r="T106" s="261"/>
      <c r="U106" s="262"/>
      <c r="V106" s="276">
        <f>IF(ISERROR((AT69-AU70)/Q106),0,((AT69-AU70)/Q106))</f>
        <v>0</v>
      </c>
      <c r="W106" s="453">
        <f t="shared" si="91"/>
        <v>0</v>
      </c>
      <c r="X106" s="263"/>
      <c r="Y106" s="263"/>
      <c r="Z106" s="456" t="e">
        <f>AT70</f>
        <v>#N/A</v>
      </c>
      <c r="AA106" s="459" t="e">
        <f t="shared" si="92"/>
        <v>#N/A</v>
      </c>
      <c r="AB106" s="459" t="e">
        <f t="shared" si="93"/>
        <v>#N/A</v>
      </c>
    </row>
    <row r="107" spans="16:28" x14ac:dyDescent="0.35">
      <c r="P107" s="223">
        <f t="shared" si="94"/>
        <v>1903</v>
      </c>
      <c r="Q107" s="259">
        <f>G75</f>
        <v>0</v>
      </c>
      <c r="R107" s="260"/>
      <c r="S107" s="261"/>
      <c r="T107" s="261"/>
      <c r="U107" s="262"/>
      <c r="V107" s="276">
        <f>IF(ISERROR((N89-O90)/Q107),0,((N89-O90)/Q107))</f>
        <v>0</v>
      </c>
      <c r="W107" s="453">
        <f t="shared" si="91"/>
        <v>0</v>
      </c>
      <c r="X107" s="263"/>
      <c r="Y107" s="263"/>
      <c r="Z107" s="456" t="e">
        <f>N90</f>
        <v>#N/A</v>
      </c>
      <c r="AA107" s="459" t="e">
        <f t="shared" si="92"/>
        <v>#N/A</v>
      </c>
      <c r="AB107" s="459" t="e">
        <f t="shared" si="93"/>
        <v>#N/A</v>
      </c>
    </row>
    <row r="108" spans="16:28" x14ac:dyDescent="0.35">
      <c r="P108" s="223">
        <f t="shared" si="94"/>
        <v>1904</v>
      </c>
      <c r="Q108" s="259">
        <f>V75</f>
        <v>0</v>
      </c>
      <c r="R108" s="260"/>
      <c r="S108" s="261"/>
      <c r="T108" s="261"/>
      <c r="U108" s="262"/>
      <c r="V108" s="276">
        <f>IF(ISERROR((AD89-AE90)/Q108),0,((AD89-AE90)/Q108))</f>
        <v>0</v>
      </c>
      <c r="W108" s="453">
        <f t="shared" si="91"/>
        <v>0</v>
      </c>
      <c r="X108" s="263"/>
      <c r="Y108" s="263"/>
      <c r="Z108" s="456" t="e">
        <f>AD90</f>
        <v>#N/A</v>
      </c>
      <c r="AA108" s="459" t="e">
        <f t="shared" si="92"/>
        <v>#N/A</v>
      </c>
      <c r="AB108" s="459" t="e">
        <f t="shared" si="93"/>
        <v>#N/A</v>
      </c>
    </row>
    <row r="109" spans="16:28" ht="16.5" thickBot="1" x14ac:dyDescent="0.4">
      <c r="P109" s="223">
        <f t="shared" si="94"/>
        <v>1905</v>
      </c>
      <c r="Q109" s="264">
        <f>AL75</f>
        <v>0</v>
      </c>
      <c r="R109" s="265"/>
      <c r="S109" s="266"/>
      <c r="T109" s="266"/>
      <c r="U109" s="267"/>
      <c r="V109" s="277">
        <f>IF(ISERROR((AT89-AU90)/Q109),0,((AT89-AU90)/Q109))</f>
        <v>0</v>
      </c>
      <c r="W109" s="454">
        <f t="shared" si="91"/>
        <v>0</v>
      </c>
      <c r="X109" s="268"/>
      <c r="Y109" s="268"/>
      <c r="Z109" s="457" t="e">
        <f>AT90</f>
        <v>#N/A</v>
      </c>
      <c r="AA109" s="460" t="e">
        <f t="shared" si="92"/>
        <v>#N/A</v>
      </c>
      <c r="AB109" s="460" t="e">
        <f t="shared" si="93"/>
        <v>#N/A</v>
      </c>
    </row>
    <row r="110" spans="16:28" ht="16.5" thickBot="1" x14ac:dyDescent="0.4">
      <c r="P110" s="269" t="s">
        <v>63</v>
      </c>
      <c r="Q110" s="270" t="e">
        <f>SUM(Q104:Q109)</f>
        <v>#NUM!</v>
      </c>
      <c r="R110" s="271"/>
      <c r="S110" s="271"/>
      <c r="T110" s="271"/>
      <c r="U110" s="271"/>
      <c r="V110" s="272"/>
      <c r="W110" s="274" t="e">
        <f>SUM(W104:W109)</f>
        <v>#NUM!</v>
      </c>
      <c r="X110" s="274"/>
      <c r="Y110" s="274"/>
      <c r="Z110" s="274"/>
      <c r="AA110" s="274" t="e">
        <f>SUM(AA104:AA109)</f>
        <v>#NUM!</v>
      </c>
      <c r="AB110" s="273" t="e">
        <f>W110+AA110</f>
        <v>#NUM!</v>
      </c>
    </row>
  </sheetData>
  <sheetProtection formatCells="0" formatColumns="0" formatRows="0" insertColumns="0" insertRows="0" insertHyperlinks="0" deleteColumns="0" deleteRows="0" sort="0" autoFilter="0" pivotTables="0"/>
  <mergeCells count="299">
    <mergeCell ref="W22:Y22"/>
    <mergeCell ref="V24:Y24"/>
    <mergeCell ref="V25:Y25"/>
    <mergeCell ref="V26:Y26"/>
    <mergeCell ref="V27:Y27"/>
    <mergeCell ref="V28:Y28"/>
    <mergeCell ref="V30:Y30"/>
    <mergeCell ref="V31:Y31"/>
    <mergeCell ref="V32:Y32"/>
    <mergeCell ref="B51:G51"/>
    <mergeCell ref="J24:K24"/>
    <mergeCell ref="L24:M24"/>
    <mergeCell ref="N24:O24"/>
    <mergeCell ref="P24:Q24"/>
    <mergeCell ref="Z24:AA24"/>
    <mergeCell ref="I5:K5"/>
    <mergeCell ref="AE5:AG5"/>
    <mergeCell ref="I6:K6"/>
    <mergeCell ref="AE6:AG6"/>
    <mergeCell ref="J20:O20"/>
    <mergeCell ref="P20:AA20"/>
    <mergeCell ref="AB20:AG20"/>
    <mergeCell ref="AB24:AC24"/>
    <mergeCell ref="AD24:AE24"/>
    <mergeCell ref="AF24:AG24"/>
    <mergeCell ref="AD25:AE25"/>
    <mergeCell ref="AF25:AG25"/>
    <mergeCell ref="J26:K26"/>
    <mergeCell ref="L26:M26"/>
    <mergeCell ref="N26:O26"/>
    <mergeCell ref="P26:Q26"/>
    <mergeCell ref="Z26:AA26"/>
    <mergeCell ref="AB26:AC26"/>
    <mergeCell ref="AD26:AE26"/>
    <mergeCell ref="AF26:AG26"/>
    <mergeCell ref="J25:K25"/>
    <mergeCell ref="L25:M25"/>
    <mergeCell ref="N25:O25"/>
    <mergeCell ref="P25:Q25"/>
    <mergeCell ref="Z25:AA25"/>
    <mergeCell ref="AB25:AC25"/>
    <mergeCell ref="J27:K27"/>
    <mergeCell ref="L27:M27"/>
    <mergeCell ref="N27:O27"/>
    <mergeCell ref="P27:Q27"/>
    <mergeCell ref="Z27:AA27"/>
    <mergeCell ref="AB27:AC27"/>
    <mergeCell ref="AD27:AE27"/>
    <mergeCell ref="AF27:AG27"/>
    <mergeCell ref="AB28:AC28"/>
    <mergeCell ref="AD28:AE28"/>
    <mergeCell ref="AF28:AG28"/>
    <mergeCell ref="J29:O29"/>
    <mergeCell ref="P29:AA29"/>
    <mergeCell ref="AB29:AG29"/>
    <mergeCell ref="J28:K28"/>
    <mergeCell ref="L28:M28"/>
    <mergeCell ref="N28:O28"/>
    <mergeCell ref="P28:Q28"/>
    <mergeCell ref="Z28:AA28"/>
    <mergeCell ref="AB30:AC30"/>
    <mergeCell ref="AD30:AE30"/>
    <mergeCell ref="AF30:AG30"/>
    <mergeCell ref="J31:K31"/>
    <mergeCell ref="L31:M31"/>
    <mergeCell ref="N31:O31"/>
    <mergeCell ref="P31:Q31"/>
    <mergeCell ref="Z31:AA31"/>
    <mergeCell ref="AB31:AC31"/>
    <mergeCell ref="J30:K30"/>
    <mergeCell ref="L30:M30"/>
    <mergeCell ref="N30:O30"/>
    <mergeCell ref="P30:Q30"/>
    <mergeCell ref="Z30:AA30"/>
    <mergeCell ref="AD31:AE31"/>
    <mergeCell ref="AF31:AG31"/>
    <mergeCell ref="J32:K32"/>
    <mergeCell ref="L32:M32"/>
    <mergeCell ref="N32:O32"/>
    <mergeCell ref="P32:Q32"/>
    <mergeCell ref="Z32:AA32"/>
    <mergeCell ref="AB32:AC32"/>
    <mergeCell ref="AD32:AE32"/>
    <mergeCell ref="AF32:AG32"/>
    <mergeCell ref="J34:O34"/>
    <mergeCell ref="P34:AA34"/>
    <mergeCell ref="AB34:AG34"/>
    <mergeCell ref="J38:K38"/>
    <mergeCell ref="L38:M38"/>
    <mergeCell ref="N38:O38"/>
    <mergeCell ref="P38:Q38"/>
    <mergeCell ref="Z38:AA38"/>
    <mergeCell ref="AB38:AC38"/>
    <mergeCell ref="AD38:AE38"/>
    <mergeCell ref="AF38:AG38"/>
    <mergeCell ref="W35:Y35"/>
    <mergeCell ref="W36:Y36"/>
    <mergeCell ref="V38:Y38"/>
    <mergeCell ref="J39:K39"/>
    <mergeCell ref="L39:M39"/>
    <mergeCell ref="N39:O39"/>
    <mergeCell ref="P39:Q39"/>
    <mergeCell ref="Z39:AA39"/>
    <mergeCell ref="AB39:AC39"/>
    <mergeCell ref="AD39:AE39"/>
    <mergeCell ref="AF39:AG39"/>
    <mergeCell ref="V39:Y39"/>
    <mergeCell ref="J40:K40"/>
    <mergeCell ref="L40:M40"/>
    <mergeCell ref="N40:O40"/>
    <mergeCell ref="P40:Q40"/>
    <mergeCell ref="Z40:AA40"/>
    <mergeCell ref="AB40:AC40"/>
    <mergeCell ref="AD40:AE40"/>
    <mergeCell ref="AF40:AG40"/>
    <mergeCell ref="V40:Y40"/>
    <mergeCell ref="J41:K41"/>
    <mergeCell ref="L41:M41"/>
    <mergeCell ref="N41:O41"/>
    <mergeCell ref="P41:Q41"/>
    <mergeCell ref="Z41:AA41"/>
    <mergeCell ref="AB41:AC41"/>
    <mergeCell ref="AD41:AE41"/>
    <mergeCell ref="AF41:AG41"/>
    <mergeCell ref="V41:Y41"/>
    <mergeCell ref="AB42:AC42"/>
    <mergeCell ref="AD42:AE42"/>
    <mergeCell ref="AF42:AG42"/>
    <mergeCell ref="J43:O43"/>
    <mergeCell ref="P43:AA43"/>
    <mergeCell ref="AB43:AG43"/>
    <mergeCell ref="J42:K42"/>
    <mergeCell ref="L42:M42"/>
    <mergeCell ref="N42:O42"/>
    <mergeCell ref="P42:Q42"/>
    <mergeCell ref="Z42:AA42"/>
    <mergeCell ref="V42:Y42"/>
    <mergeCell ref="AB44:AC44"/>
    <mergeCell ref="AD44:AE44"/>
    <mergeCell ref="AF44:AG44"/>
    <mergeCell ref="J45:K45"/>
    <mergeCell ref="L45:M45"/>
    <mergeCell ref="N45:O45"/>
    <mergeCell ref="P45:Q45"/>
    <mergeCell ref="Z45:AA45"/>
    <mergeCell ref="AB45:AC45"/>
    <mergeCell ref="J44:K44"/>
    <mergeCell ref="L44:M44"/>
    <mergeCell ref="N44:O44"/>
    <mergeCell ref="P44:Q44"/>
    <mergeCell ref="Z44:AA44"/>
    <mergeCell ref="AD45:AE45"/>
    <mergeCell ref="AF45:AG45"/>
    <mergeCell ref="V44:Y44"/>
    <mergeCell ref="V45:Y45"/>
    <mergeCell ref="J46:K46"/>
    <mergeCell ref="L46:M46"/>
    <mergeCell ref="N46:O46"/>
    <mergeCell ref="P46:Q46"/>
    <mergeCell ref="Z46:AA46"/>
    <mergeCell ref="AB46:AC46"/>
    <mergeCell ref="AD46:AE46"/>
    <mergeCell ref="P57:Q57"/>
    <mergeCell ref="V57:W57"/>
    <mergeCell ref="V46:Y46"/>
    <mergeCell ref="AF57:AG57"/>
    <mergeCell ref="AL57:AM57"/>
    <mergeCell ref="P58:Q58"/>
    <mergeCell ref="V58:W58"/>
    <mergeCell ref="AF58:AG58"/>
    <mergeCell ref="AL58:AM58"/>
    <mergeCell ref="AF46:AG46"/>
    <mergeCell ref="P55:Q55"/>
    <mergeCell ref="V55:W55"/>
    <mergeCell ref="AF55:AG55"/>
    <mergeCell ref="AL55:AM55"/>
    <mergeCell ref="P56:Q56"/>
    <mergeCell ref="V56:W56"/>
    <mergeCell ref="AF56:AG56"/>
    <mergeCell ref="AL56:AM56"/>
    <mergeCell ref="P61:Q61"/>
    <mergeCell ref="V61:W61"/>
    <mergeCell ref="AF61:AG61"/>
    <mergeCell ref="AL61:AM61"/>
    <mergeCell ref="P62:Q62"/>
    <mergeCell ref="V62:W62"/>
    <mergeCell ref="AF62:AG62"/>
    <mergeCell ref="AL62:AM62"/>
    <mergeCell ref="P59:Q59"/>
    <mergeCell ref="V59:W59"/>
    <mergeCell ref="AF59:AG59"/>
    <mergeCell ref="AL59:AM59"/>
    <mergeCell ref="P60:Q60"/>
    <mergeCell ref="V60:W60"/>
    <mergeCell ref="AF60:AG60"/>
    <mergeCell ref="AL60:AM60"/>
    <mergeCell ref="P65:Q65"/>
    <mergeCell ref="V65:W65"/>
    <mergeCell ref="AF65:AG65"/>
    <mergeCell ref="AL65:AM65"/>
    <mergeCell ref="P66:Q66"/>
    <mergeCell ref="V66:W66"/>
    <mergeCell ref="AF66:AG66"/>
    <mergeCell ref="AL66:AM66"/>
    <mergeCell ref="P63:Q63"/>
    <mergeCell ref="V63:W63"/>
    <mergeCell ref="AF63:AG63"/>
    <mergeCell ref="AL63:AM63"/>
    <mergeCell ref="P64:Q64"/>
    <mergeCell ref="V64:W64"/>
    <mergeCell ref="AF64:AG64"/>
    <mergeCell ref="AL64:AM64"/>
    <mergeCell ref="P69:Q69"/>
    <mergeCell ref="V69:W69"/>
    <mergeCell ref="AF69:AG69"/>
    <mergeCell ref="AL69:AM69"/>
    <mergeCell ref="V70:W70"/>
    <mergeCell ref="AL70:AM70"/>
    <mergeCell ref="P67:Q67"/>
    <mergeCell ref="V67:W67"/>
    <mergeCell ref="AF67:AG67"/>
    <mergeCell ref="AL67:AM67"/>
    <mergeCell ref="P68:Q68"/>
    <mergeCell ref="V68:W68"/>
    <mergeCell ref="AF68:AG68"/>
    <mergeCell ref="AL68:AM68"/>
    <mergeCell ref="P76:Q76"/>
    <mergeCell ref="V76:W76"/>
    <mergeCell ref="AF76:AG76"/>
    <mergeCell ref="AL76:AM76"/>
    <mergeCell ref="P77:Q77"/>
    <mergeCell ref="V77:W77"/>
    <mergeCell ref="AF77:AG77"/>
    <mergeCell ref="AL77:AM77"/>
    <mergeCell ref="P72:Q72"/>
    <mergeCell ref="V72:W72"/>
    <mergeCell ref="AF72:AG72"/>
    <mergeCell ref="AL72:AM72"/>
    <mergeCell ref="P75:Q75"/>
    <mergeCell ref="V75:W75"/>
    <mergeCell ref="AF75:AG75"/>
    <mergeCell ref="AL75:AM75"/>
    <mergeCell ref="P80:Q80"/>
    <mergeCell ref="V80:W80"/>
    <mergeCell ref="AF80:AG80"/>
    <mergeCell ref="AL80:AM80"/>
    <mergeCell ref="P81:Q81"/>
    <mergeCell ref="V81:W81"/>
    <mergeCell ref="AF81:AG81"/>
    <mergeCell ref="AL81:AM81"/>
    <mergeCell ref="P78:Q78"/>
    <mergeCell ref="V78:W78"/>
    <mergeCell ref="AF78:AG78"/>
    <mergeCell ref="AL78:AM78"/>
    <mergeCell ref="P79:Q79"/>
    <mergeCell ref="V79:W79"/>
    <mergeCell ref="AF79:AG79"/>
    <mergeCell ref="AL79:AM79"/>
    <mergeCell ref="P84:Q84"/>
    <mergeCell ref="V84:W84"/>
    <mergeCell ref="AF84:AG84"/>
    <mergeCell ref="AL84:AM84"/>
    <mergeCell ref="P85:Q85"/>
    <mergeCell ref="V85:W85"/>
    <mergeCell ref="AF85:AG85"/>
    <mergeCell ref="AL85:AM85"/>
    <mergeCell ref="P82:Q82"/>
    <mergeCell ref="V82:W82"/>
    <mergeCell ref="AF82:AG82"/>
    <mergeCell ref="AL82:AM82"/>
    <mergeCell ref="P83:Q83"/>
    <mergeCell ref="V83:W83"/>
    <mergeCell ref="AF83:AG83"/>
    <mergeCell ref="AL83:AM83"/>
    <mergeCell ref="P88:Q88"/>
    <mergeCell ref="V88:W88"/>
    <mergeCell ref="AF88:AG88"/>
    <mergeCell ref="AL88:AM88"/>
    <mergeCell ref="P89:Q89"/>
    <mergeCell ref="V89:W89"/>
    <mergeCell ref="AF89:AG89"/>
    <mergeCell ref="AL89:AM89"/>
    <mergeCell ref="P86:Q86"/>
    <mergeCell ref="V86:W86"/>
    <mergeCell ref="AF86:AG86"/>
    <mergeCell ref="AL86:AM86"/>
    <mergeCell ref="P87:Q87"/>
    <mergeCell ref="V87:W87"/>
    <mergeCell ref="AF87:AG87"/>
    <mergeCell ref="AL87:AM87"/>
    <mergeCell ref="B96:L96"/>
    <mergeCell ref="P96:W96"/>
    <mergeCell ref="Z96:AC96"/>
    <mergeCell ref="V90:W90"/>
    <mergeCell ref="AL90:AM90"/>
    <mergeCell ref="P92:Q92"/>
    <mergeCell ref="V92:W92"/>
    <mergeCell ref="AF92:AG92"/>
    <mergeCell ref="AL92:AM92"/>
  </mergeCells>
  <conditionalFormatting sqref="W6">
    <cfRule type="expression" dxfId="42" priority="15">
      <formula>ISBLANK($W$6)</formula>
    </cfRule>
  </conditionalFormatting>
  <conditionalFormatting sqref="AD45:AE45 AD31:AE31 L31:M31 L45:M45">
    <cfRule type="cellIs" dxfId="41" priority="12" operator="equal">
      <formula>0</formula>
    </cfRule>
  </conditionalFormatting>
  <conditionalFormatting sqref="M6">
    <cfRule type="expression" dxfId="40" priority="9">
      <formula>ISBLANK($M$6)</formula>
    </cfRule>
    <cfRule type="expression" dxfId="39" priority="10">
      <formula>ISBLANK($M$6)</formula>
    </cfRule>
  </conditionalFormatting>
  <conditionalFormatting sqref="N6">
    <cfRule type="expression" dxfId="38" priority="8">
      <formula>ISBLANK($N$6)</formula>
    </cfRule>
  </conditionalFormatting>
  <conditionalFormatting sqref="O8">
    <cfRule type="expression" dxfId="37" priority="7">
      <formula>ISBLANK($O$8)</formula>
    </cfRule>
  </conditionalFormatting>
  <conditionalFormatting sqref="O10">
    <cfRule type="expression" dxfId="36" priority="6">
      <formula>ISBLANK($O$8)</formula>
    </cfRule>
  </conditionalFormatting>
  <conditionalFormatting sqref="V6">
    <cfRule type="expression" dxfId="35" priority="5">
      <formula>ISBLANK($V$6)</formula>
    </cfRule>
  </conditionalFormatting>
  <conditionalFormatting sqref="P6">
    <cfRule type="expression" dxfId="34" priority="4">
      <formula>ISBLANK($P$6)</formula>
    </cfRule>
  </conditionalFormatting>
  <conditionalFormatting sqref="Q6">
    <cfRule type="expression" dxfId="33" priority="3">
      <formula>ISBLANK($Q$6)</formula>
    </cfRule>
  </conditionalFormatting>
  <conditionalFormatting sqref="V31">
    <cfRule type="cellIs" dxfId="32" priority="2" operator="equal">
      <formula>0</formula>
    </cfRule>
  </conditionalFormatting>
  <conditionalFormatting sqref="V45">
    <cfRule type="cellIs" dxfId="31" priority="1" operator="equal">
      <formula>0</formula>
    </cfRule>
  </conditionalFormatting>
  <dataValidations count="5">
    <dataValidation type="date" allowBlank="1" showInputMessage="1" showErrorMessage="1" sqref="R36:U36 X36:AA36 AF36:AG36 N36:O36" xr:uid="{9FC75911-3668-4C2A-80D3-C74A2F834A5B}">
      <formula1>36526</formula1>
      <formula2>2958465</formula2>
    </dataValidation>
    <dataValidation type="date" allowBlank="1" showInputMessage="1" showErrorMessage="1" sqref="M6:N7 J22 R22:U22 AF22:AG22 N22:O22 X22:AA22 V6:V7" xr:uid="{F1E1CA2D-B9CB-47CF-B2AA-D117B8D6F25D}">
      <formula1>36526</formula1>
      <formula2>401768</formula2>
    </dataValidation>
    <dataValidation errorStyle="warning" operator="lessThan" allowBlank="1" showInputMessage="1" showErrorMessage="1" sqref="W6:W7 W9" xr:uid="{39F4DC7C-F9D1-49C3-90D6-1726D29A4FBA}"/>
    <dataValidation type="whole" operator="lessThan" allowBlank="1" showInputMessage="1" showErrorMessage="1" sqref="W11" xr:uid="{C2255AB1-CFC3-4544-9933-003923721C0E}">
      <formula1>101</formula1>
    </dataValidation>
    <dataValidation operator="lessThan" allowBlank="1" showInputMessage="1" showErrorMessage="1" sqref="Z10 W8" xr:uid="{39234DDC-01EA-4389-AC1C-C5A128FC0915}"/>
  </dataValidations>
  <printOptions horizontalCentered="1"/>
  <pageMargins left="0.7" right="0.7" top="0.75" bottom="0.75" header="0.3" footer="0.3"/>
  <pageSetup paperSize="9" scale="28" orientation="landscape" r:id="rId1"/>
  <headerFooter>
    <oddHeader xml:space="preserve">&amp;L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2754" r:id="rId4" name="Check Box 2">
              <controlPr defaultSize="0" autoFill="0" autoLine="0" autoPict="0" altText="kalkulatoriche Tariferhöhung berücksichtigen">
                <anchor moveWithCells="1">
                  <from>
                    <xdr:col>27</xdr:col>
                    <xdr:colOff>400050</xdr:colOff>
                    <xdr:row>4</xdr:row>
                    <xdr:rowOff>66675</xdr:rowOff>
                  </from>
                  <to>
                    <xdr:col>29</xdr:col>
                    <xdr:colOff>152400</xdr:colOff>
                    <xdr:row>4</xdr:row>
                    <xdr:rowOff>571500</xdr:rowOff>
                  </to>
                </anchor>
              </controlPr>
            </control>
          </mc:Choice>
        </mc:AlternateContent>
        <mc:AlternateContent xmlns:mc="http://schemas.openxmlformats.org/markup-compatibility/2006">
          <mc:Choice Requires="x14">
            <control shapeId="202755" r:id="rId5" name="Check Box 3">
              <controlPr defaultSize="0" autoFill="0" autoLine="0" autoPict="0" altText="unbefristet Beschäftigt">
                <anchor moveWithCells="1">
                  <from>
                    <xdr:col>25</xdr:col>
                    <xdr:colOff>333375</xdr:colOff>
                    <xdr:row>5</xdr:row>
                    <xdr:rowOff>133350</xdr:rowOff>
                  </from>
                  <to>
                    <xdr:col>27</xdr:col>
                    <xdr:colOff>104775</xdr:colOff>
                    <xdr:row>6</xdr:row>
                    <xdr:rowOff>66675</xdr:rowOff>
                  </to>
                </anchor>
              </controlPr>
            </control>
          </mc:Choice>
        </mc:AlternateContent>
        <mc:AlternateContent xmlns:mc="http://schemas.openxmlformats.org/markup-compatibility/2006">
          <mc:Choice Requires="x14">
            <control shapeId="202756" r:id="rId6" name="Check Box 4">
              <controlPr defaultSize="0" autoFill="0" autoLine="0" autoPict="0" altText="Einmalzahlung (EZ)">
                <anchor moveWithCells="1">
                  <from>
                    <xdr:col>27</xdr:col>
                    <xdr:colOff>419100</xdr:colOff>
                    <xdr:row>5</xdr:row>
                    <xdr:rowOff>133350</xdr:rowOff>
                  </from>
                  <to>
                    <xdr:col>29</xdr:col>
                    <xdr:colOff>171450</xdr:colOff>
                    <xdr:row>6</xdr:row>
                    <xdr:rowOff>47625</xdr:rowOff>
                  </to>
                </anchor>
              </controlPr>
            </control>
          </mc:Choice>
        </mc:AlternateContent>
        <mc:AlternateContent xmlns:mc="http://schemas.openxmlformats.org/markup-compatibility/2006">
          <mc:Choice Requires="x14">
            <control shapeId="202765" r:id="rId7" name="Check Box 13">
              <controlPr defaultSize="0" autoFill="0" autoLine="0" autoPict="0" altText="Anteilige JSZ berechnen_x000a_">
                <anchor moveWithCells="1">
                  <from>
                    <xdr:col>25</xdr:col>
                    <xdr:colOff>323850</xdr:colOff>
                    <xdr:row>4</xdr:row>
                    <xdr:rowOff>57150</xdr:rowOff>
                  </from>
                  <to>
                    <xdr:col>27</xdr:col>
                    <xdr:colOff>85725</xdr:colOff>
                    <xdr:row>4</xdr:row>
                    <xdr:rowOff>571500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7053804-E810-43E1-ADD0-FC99A8DCF25F}">
          <x14:formula1>
            <xm:f>'DROP DOWN'!$H$3:$H$9</xm:f>
          </x14:formula1>
          <xm:sqref>N26:O26 N40:O40 Z26:AA26 AF26:AG26 AF40:AG40 Z40:AA40 R6:R7 Q6</xm:sqref>
        </x14:dataValidation>
        <x14:dataValidation type="list" allowBlank="1" showInputMessage="1" showErrorMessage="1" xr:uid="{7E35850E-E3C7-4622-8D13-015F7397ACB0}">
          <x14:formula1>
            <xm:f>'DROP DOWN'!$G$3:$G$22</xm:f>
          </x14:formula1>
          <xm:sqref>N25:O25 N39:O39 Z25:AA25 AF25:AG25 Z39:AA39 AF39:AG39 P6:P7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17704-4790-43C9-8796-70B4076DBB5F}">
  <sheetPr codeName="Tabelle7">
    <tabColor theme="9" tint="0.59999389629810485"/>
    <pageSetUpPr fitToPage="1"/>
  </sheetPr>
  <dimension ref="B1:AU106"/>
  <sheetViews>
    <sheetView showGridLines="0" view="pageBreakPreview" zoomScale="55" zoomScaleNormal="70" zoomScaleSheetLayoutView="55" workbookViewId="0">
      <pane ySplit="18" topLeftCell="A35" activePane="bottomLeft" state="frozen"/>
      <selection activeCell="AR64" sqref="AR64"/>
      <selection pane="bottomLeft" activeCell="AR64" sqref="AR64"/>
    </sheetView>
  </sheetViews>
  <sheetFormatPr baseColWidth="10" defaultColWidth="11.42578125" defaultRowHeight="15.75" outlineLevelRow="2" outlineLevelCol="1" x14ac:dyDescent="0.35"/>
  <cols>
    <col min="1" max="1" width="5.7109375" style="58" customWidth="1"/>
    <col min="2" max="2" width="20.140625" style="58" customWidth="1"/>
    <col min="3" max="3" width="25.140625" style="58" hidden="1" customWidth="1" outlineLevel="1"/>
    <col min="4" max="5" width="12.7109375" style="58" hidden="1" customWidth="1" outlineLevel="1"/>
    <col min="6" max="6" width="11.5703125" style="58" hidden="1" customWidth="1" outlineLevel="1"/>
    <col min="7" max="7" width="28.85546875" style="58" customWidth="1" collapsed="1"/>
    <col min="8" max="8" width="21.7109375" style="58" hidden="1" customWidth="1" outlineLevel="1"/>
    <col min="9" max="9" width="13.42578125" style="58" customWidth="1" collapsed="1"/>
    <col min="10" max="11" width="13.42578125" style="58" customWidth="1"/>
    <col min="12" max="12" width="13.85546875" style="58" customWidth="1"/>
    <col min="13" max="14" width="13.42578125" style="58" customWidth="1"/>
    <col min="15" max="15" width="15.140625" style="58" customWidth="1"/>
    <col min="16" max="16" width="14.7109375" style="58" customWidth="1"/>
    <col min="17" max="17" width="13.42578125" style="58" customWidth="1"/>
    <col min="18" max="21" width="12.7109375" style="58" hidden="1" customWidth="1" outlineLevel="1"/>
    <col min="22" max="22" width="15.28515625" style="58" customWidth="1" collapsed="1"/>
    <col min="23" max="23" width="12.28515625" style="58" customWidth="1"/>
    <col min="24" max="24" width="12.7109375" style="58" hidden="1" customWidth="1" outlineLevel="1"/>
    <col min="25" max="25" width="10.7109375" style="58" customWidth="1" collapsed="1"/>
    <col min="26" max="33" width="13.42578125" style="58" customWidth="1"/>
    <col min="34" max="34" width="18" style="58" hidden="1" customWidth="1" outlineLevel="1"/>
    <col min="35" max="37" width="14.140625" style="58" hidden="1" customWidth="1" outlineLevel="1"/>
    <col min="38" max="38" width="13.42578125" style="58" customWidth="1" collapsed="1"/>
    <col min="39" max="39" width="13.42578125" style="58" customWidth="1"/>
    <col min="40" max="40" width="13.7109375" style="58" hidden="1" customWidth="1" outlineLevel="1"/>
    <col min="41" max="41" width="13.7109375" style="58" customWidth="1" collapsed="1"/>
    <col min="42" max="46" width="13.42578125" style="58" customWidth="1"/>
    <col min="47" max="47" width="16.28515625" style="58" customWidth="1"/>
    <col min="48" max="16384" width="11.42578125" style="58"/>
  </cols>
  <sheetData>
    <row r="1" spans="2:43" ht="27.75" customHeight="1" x14ac:dyDescent="0.35">
      <c r="G1" s="59"/>
    </row>
    <row r="2" spans="2:43" ht="31.5" x14ac:dyDescent="0.6">
      <c r="B2" s="323" t="s">
        <v>98</v>
      </c>
      <c r="G2" s="60"/>
      <c r="L2" s="61"/>
      <c r="P2" s="61"/>
      <c r="R2" s="61"/>
      <c r="S2" s="61"/>
      <c r="T2" s="61"/>
      <c r="U2" s="61"/>
      <c r="V2" s="61"/>
      <c r="W2" s="61"/>
      <c r="X2" s="62"/>
      <c r="Y2" s="62"/>
      <c r="AC2" s="63"/>
    </row>
    <row r="3" spans="2:43" x14ac:dyDescent="0.35">
      <c r="B3" s="375" t="str">
        <f>PKHR_für_Tarifpersonal!B4</f>
        <v>Stand: 03.06.2026 (BITTE AKTUELLE VERSION NUTZEN - ZURZEIT VERSION V06)</v>
      </c>
      <c r="L3" s="61"/>
      <c r="P3" s="61"/>
      <c r="R3" s="61"/>
      <c r="S3" s="61"/>
      <c r="T3" s="61"/>
      <c r="U3" s="61"/>
      <c r="V3" s="61"/>
      <c r="W3" s="61"/>
      <c r="X3" s="62"/>
      <c r="Y3" s="62"/>
      <c r="AC3" s="63"/>
    </row>
    <row r="4" spans="2:43" ht="39" customHeight="1" thickBot="1" x14ac:dyDescent="0.5">
      <c r="B4" s="326" t="s">
        <v>175</v>
      </c>
      <c r="L4" s="62"/>
      <c r="P4" s="61"/>
      <c r="Q4" s="61"/>
      <c r="R4" s="61"/>
      <c r="S4" s="61"/>
      <c r="T4" s="61"/>
      <c r="U4" s="61"/>
      <c r="V4" s="61"/>
      <c r="W4" s="61"/>
      <c r="X4" s="62"/>
      <c r="Y4" s="62"/>
    </row>
    <row r="5" spans="2:43" s="72" customFormat="1" ht="45.95" customHeight="1" thickBot="1" x14ac:dyDescent="0.4">
      <c r="B5" s="65" t="s">
        <v>119</v>
      </c>
      <c r="C5" s="66"/>
      <c r="D5" s="66"/>
      <c r="E5" s="67"/>
      <c r="F5" s="67"/>
      <c r="G5" s="68" t="s">
        <v>116</v>
      </c>
      <c r="H5" s="68"/>
      <c r="I5" s="779" t="s">
        <v>113</v>
      </c>
      <c r="J5" s="780"/>
      <c r="K5" s="781"/>
      <c r="L5" s="68" t="s">
        <v>121</v>
      </c>
      <c r="M5" s="68" t="s">
        <v>86</v>
      </c>
      <c r="N5" s="68" t="s">
        <v>87</v>
      </c>
      <c r="O5" s="68" t="s">
        <v>160</v>
      </c>
      <c r="P5" s="68" t="s">
        <v>109</v>
      </c>
      <c r="Q5" s="68" t="s">
        <v>115</v>
      </c>
      <c r="R5" s="69"/>
      <c r="S5" s="69"/>
      <c r="T5" s="69"/>
      <c r="U5" s="70"/>
      <c r="V5" s="68" t="s">
        <v>174</v>
      </c>
      <c r="W5" s="71" t="s">
        <v>164</v>
      </c>
      <c r="X5" s="72" t="b">
        <f>'HR-DM (U3,U4,U5AUF)'!X5</f>
        <v>1</v>
      </c>
      <c r="AA5" s="73"/>
      <c r="AB5" s="74"/>
      <c r="AC5" s="74"/>
      <c r="AD5" s="58"/>
      <c r="AE5" s="660" t="s">
        <v>125</v>
      </c>
      <c r="AF5" s="661"/>
      <c r="AG5" s="662"/>
    </row>
    <row r="6" spans="2:43" ht="45.95" customHeight="1" thickBot="1" x14ac:dyDescent="0.4">
      <c r="B6" s="208">
        <f>PKHR_für_Tarifpersonal!$C$7</f>
        <v>0</v>
      </c>
      <c r="C6" s="75"/>
      <c r="D6" s="75"/>
      <c r="E6" s="76"/>
      <c r="F6" s="76"/>
      <c r="G6" s="77"/>
      <c r="H6" s="75"/>
      <c r="I6" s="782"/>
      <c r="J6" s="783"/>
      <c r="K6" s="784"/>
      <c r="L6" s="318"/>
      <c r="M6" s="207">
        <f>PKHR_für_Tarifpersonal!$C$11</f>
        <v>0</v>
      </c>
      <c r="N6" s="207">
        <f>PKHR_für_Tarifpersonal!$D$11</f>
        <v>0</v>
      </c>
      <c r="O6" s="79">
        <f>O8*J30/100*O10/J30*100</f>
        <v>0</v>
      </c>
      <c r="P6" s="80" t="str">
        <f>PKHR_für_Tarifpersonal!$C$12</f>
        <v>Bitte auswählen</v>
      </c>
      <c r="Q6" s="80" t="str">
        <f>PKHR_für_Tarifpersonal!$C$13</f>
        <v>Bitte auswählen</v>
      </c>
      <c r="R6" s="80"/>
      <c r="S6" s="78"/>
      <c r="T6" s="78"/>
      <c r="U6" s="78"/>
      <c r="V6" s="207" t="e">
        <f>PKHR_für_Tarifpersonal!$C$14</f>
        <v>#VALUE!</v>
      </c>
      <c r="W6" s="205">
        <f>IF(O10=0,1,O10)</f>
        <v>1</v>
      </c>
      <c r="X6" s="61" t="b">
        <v>1</v>
      </c>
      <c r="Y6" s="61"/>
      <c r="Z6" s="61"/>
      <c r="AA6" s="73"/>
      <c r="AB6" s="81"/>
      <c r="AC6" s="81"/>
      <c r="AE6" s="663"/>
      <c r="AF6" s="664"/>
      <c r="AG6" s="665"/>
      <c r="AN6" s="82"/>
      <c r="AO6" s="82"/>
      <c r="AP6" s="82"/>
      <c r="AQ6" s="82"/>
    </row>
    <row r="7" spans="2:43" ht="29.45" hidden="1" customHeight="1" outlineLevel="1" thickBot="1" x14ac:dyDescent="0.4">
      <c r="B7" s="83"/>
      <c r="C7" s="82"/>
      <c r="D7" s="82"/>
      <c r="E7" s="82"/>
      <c r="F7" s="82"/>
      <c r="J7" s="84"/>
      <c r="N7" s="83"/>
      <c r="O7" s="379" t="s">
        <v>161</v>
      </c>
      <c r="P7" s="83"/>
      <c r="R7" s="83"/>
      <c r="S7" s="83"/>
      <c r="T7" s="83"/>
      <c r="U7" s="83"/>
      <c r="V7" s="83"/>
      <c r="W7" s="379" t="s">
        <v>165</v>
      </c>
      <c r="X7" s="61"/>
      <c r="Y7" s="61"/>
      <c r="Z7" s="61"/>
      <c r="AA7" s="73"/>
      <c r="AB7" s="81"/>
      <c r="AC7" s="81"/>
      <c r="AN7" s="82"/>
      <c r="AO7" s="82"/>
      <c r="AP7" s="82"/>
      <c r="AQ7" s="82"/>
    </row>
    <row r="8" spans="2:43" ht="25.15" hidden="1" customHeight="1" outlineLevel="1" thickBot="1" x14ac:dyDescent="0.4">
      <c r="B8" s="83"/>
      <c r="C8" s="82"/>
      <c r="D8" s="82"/>
      <c r="E8" s="82"/>
      <c r="F8" s="82"/>
      <c r="J8" s="84"/>
      <c r="N8" s="83"/>
      <c r="O8" s="380">
        <f>PKHR_für_Tarifpersonal!C17</f>
        <v>0</v>
      </c>
      <c r="W8" s="381">
        <f>IF(O8=0,J30,O8*J30/100*100)</f>
        <v>39</v>
      </c>
      <c r="X8" s="61" t="b">
        <v>0</v>
      </c>
      <c r="Y8" s="61"/>
      <c r="Z8" s="61"/>
      <c r="AA8" s="73"/>
      <c r="AB8" s="81"/>
      <c r="AC8" s="81"/>
      <c r="AN8" s="82"/>
      <c r="AO8" s="82"/>
      <c r="AP8" s="82"/>
      <c r="AQ8" s="82"/>
    </row>
    <row r="9" spans="2:43" ht="28.9" hidden="1" customHeight="1" outlineLevel="1" thickBot="1" x14ac:dyDescent="0.4">
      <c r="B9" s="83"/>
      <c r="C9" s="82"/>
      <c r="D9" s="82"/>
      <c r="E9" s="82"/>
      <c r="F9" s="82"/>
      <c r="J9" s="84"/>
      <c r="N9" s="83"/>
      <c r="O9" s="379" t="s">
        <v>162</v>
      </c>
      <c r="W9" s="379" t="s">
        <v>166</v>
      </c>
      <c r="X9" s="61" t="b">
        <v>1</v>
      </c>
      <c r="Y9" s="61"/>
      <c r="Z9" s="61"/>
      <c r="AA9" s="73"/>
      <c r="AB9" s="81"/>
      <c r="AC9" s="81"/>
      <c r="AN9" s="82"/>
      <c r="AO9" s="82"/>
      <c r="AP9" s="82"/>
      <c r="AQ9" s="82"/>
    </row>
    <row r="10" spans="2:43" ht="32.450000000000003" hidden="1" customHeight="1" outlineLevel="1" thickBot="1" x14ac:dyDescent="0.4">
      <c r="B10" s="83"/>
      <c r="C10" s="82"/>
      <c r="D10" s="82"/>
      <c r="E10" s="82"/>
      <c r="F10" s="82"/>
      <c r="J10" s="84"/>
      <c r="N10" s="83"/>
      <c r="O10" s="380">
        <f>PKHR_für_Tarifpersonal!C18</f>
        <v>0</v>
      </c>
      <c r="W10" s="381">
        <f>IF(O10=0,O6*W8,W8*O10)</f>
        <v>0</v>
      </c>
      <c r="Z10" s="73"/>
      <c r="AA10" s="61"/>
      <c r="AB10" s="61"/>
      <c r="AN10" s="82"/>
      <c r="AO10" s="82"/>
      <c r="AP10" s="82"/>
      <c r="AQ10" s="82"/>
    </row>
    <row r="11" spans="2:43" ht="19.899999999999999" customHeight="1" collapsed="1" x14ac:dyDescent="0.35">
      <c r="J11" s="84"/>
      <c r="N11" s="83"/>
      <c r="W11" s="61"/>
      <c r="X11" s="61"/>
      <c r="Y11" s="61"/>
      <c r="Z11" s="61"/>
      <c r="AA11" s="73"/>
      <c r="AB11" s="81"/>
      <c r="AC11" s="81"/>
      <c r="AN11" s="82"/>
      <c r="AO11" s="82"/>
      <c r="AP11" s="82"/>
      <c r="AQ11" s="82"/>
    </row>
    <row r="12" spans="2:43" hidden="1" outlineLevel="1" x14ac:dyDescent="0.35">
      <c r="B12" s="83"/>
      <c r="C12" s="82"/>
      <c r="D12" s="82"/>
      <c r="E12" s="82"/>
      <c r="F12" s="82"/>
      <c r="J12" s="84"/>
      <c r="N12" s="60"/>
      <c r="R12" s="85">
        <v>1</v>
      </c>
      <c r="S12" s="85" t="e">
        <f>IF($Q$6+R12&gt;6,"",$Q$6+R12)</f>
        <v>#VALUE!</v>
      </c>
      <c r="T12" s="86" t="str">
        <f>IFERROR(IF(IF($Q$6+R12&gt;6,0,DATE(YEAR(V6)+$Q$6+R12,MONTH(V6),DAY(V6)))&gt;$N$6,"01.01.1900",IF($Q$6+R12&gt;6,0,DATE(YEAR(V6)+$Q$6+R12,MONTH(V6),DAY(V6)))),"01.01.1900")</f>
        <v>01.01.1900</v>
      </c>
      <c r="W12" s="61"/>
      <c r="X12" s="61"/>
      <c r="Y12" s="61"/>
      <c r="Z12" s="61"/>
      <c r="AA12" s="87"/>
      <c r="AB12" s="82"/>
      <c r="AC12" s="82"/>
      <c r="AN12" s="82"/>
      <c r="AO12" s="82"/>
      <c r="AP12" s="82"/>
      <c r="AQ12" s="82"/>
    </row>
    <row r="13" spans="2:43" hidden="1" outlineLevel="1" x14ac:dyDescent="0.35">
      <c r="B13" s="83"/>
      <c r="C13" s="82"/>
      <c r="D13" s="82"/>
      <c r="E13" s="82"/>
      <c r="F13" s="82"/>
      <c r="J13" s="84"/>
      <c r="R13" s="85">
        <v>2</v>
      </c>
      <c r="S13" s="85" t="e">
        <f>IF($Q$6+R13&gt;6,"",$Q$6+R13)</f>
        <v>#VALUE!</v>
      </c>
      <c r="T13" s="86" t="e">
        <f>IF(IF($Q$6+R13&gt;6,0,DATE(YEAR(T12)+$Q$6+R13,MONTH(T12),DAY(T12)))&gt;N$6,"01.01.1900",IF($Q$6+R13&gt;6,0,DATE(YEAR(T12)+$Q$6+R13,MONTH(T12),DAY(T12))))</f>
        <v>#VALUE!</v>
      </c>
      <c r="W13" s="61"/>
      <c r="X13" s="61"/>
      <c r="Y13" s="61"/>
      <c r="Z13" s="61"/>
      <c r="AA13" s="87"/>
      <c r="AB13" s="82"/>
      <c r="AC13" s="82"/>
      <c r="AN13" s="82"/>
      <c r="AO13" s="82"/>
      <c r="AP13" s="82"/>
      <c r="AQ13" s="82"/>
    </row>
    <row r="14" spans="2:43" hidden="1" outlineLevel="1" x14ac:dyDescent="0.35">
      <c r="B14" s="83"/>
      <c r="C14" s="82"/>
      <c r="D14" s="82"/>
      <c r="E14" s="82"/>
      <c r="F14" s="82"/>
      <c r="J14" s="84"/>
      <c r="N14" s="60"/>
      <c r="R14" s="85">
        <v>3</v>
      </c>
      <c r="S14" s="85" t="e">
        <f>IF($Q$6+R14&gt;6,"",$Q$6+R14)</f>
        <v>#VALUE!</v>
      </c>
      <c r="T14" s="86" t="e">
        <f>IF(IF($Q$6+R14&gt;6,0,DATE(YEAR(T13)+$Q$6+R14,MONTH(T13),DAY(T13)))&gt;N$6,"01.01.1900",IF($Q$6+R14&gt;6,0,DATE(YEAR(T13)+$Q$6+R14,MONTH(T13),DAY(T13))))</f>
        <v>#VALUE!</v>
      </c>
      <c r="V14" s="60"/>
      <c r="W14" s="325"/>
      <c r="X14" s="61"/>
      <c r="Y14" s="61"/>
      <c r="Z14" s="61"/>
      <c r="AA14" s="87"/>
      <c r="AB14" s="82"/>
      <c r="AC14" s="82"/>
      <c r="AN14" s="82"/>
      <c r="AO14" s="82"/>
      <c r="AP14" s="82"/>
      <c r="AQ14" s="82"/>
    </row>
    <row r="15" spans="2:43" hidden="1" outlineLevel="1" x14ac:dyDescent="0.35">
      <c r="B15" s="83"/>
      <c r="C15" s="82"/>
      <c r="D15" s="82"/>
      <c r="E15" s="82"/>
      <c r="F15" s="82"/>
      <c r="J15" s="84"/>
      <c r="R15" s="85">
        <v>4</v>
      </c>
      <c r="S15" s="85" t="e">
        <f>IF($Q$6+R15&gt;6,"",$Q$6+R15)</f>
        <v>#VALUE!</v>
      </c>
      <c r="T15" s="86" t="e">
        <f>IF(IF($Q$6+R15&gt;6,0,DATE(YEAR(T14)+$Q$6+R15,MONTH(T14),DAY(T14)))&gt;N$6,"01.01.1900",IF($Q$6+R15&gt;6,0,DATE(YEAR(T14)+$Q$6+R15,MONTH(T14),DAY(T14))))</f>
        <v>#VALUE!</v>
      </c>
      <c r="W15" s="325"/>
      <c r="X15" s="61"/>
      <c r="Y15" s="61"/>
      <c r="Z15" s="61"/>
      <c r="AA15" s="87"/>
      <c r="AB15" s="82"/>
      <c r="AC15" s="82"/>
      <c r="AN15" s="82"/>
      <c r="AO15" s="82"/>
      <c r="AP15" s="82"/>
      <c r="AQ15" s="82"/>
    </row>
    <row r="16" spans="2:43" hidden="1" outlineLevel="1" x14ac:dyDescent="0.35">
      <c r="B16" s="64"/>
      <c r="J16" s="84"/>
      <c r="K16" s="88"/>
      <c r="L16" s="89"/>
      <c r="M16" s="90"/>
      <c r="N16" s="90"/>
      <c r="O16" s="90"/>
      <c r="P16" s="90"/>
      <c r="Q16" s="90"/>
      <c r="R16" s="91">
        <v>5</v>
      </c>
      <c r="S16" s="85" t="e">
        <f>IF($Q$6+R16&gt;6,"",$Q$6+R16)</f>
        <v>#VALUE!</v>
      </c>
      <c r="T16" s="86" t="e">
        <f>IF(IF($Q$6+R16&gt;6,0,DATE(YEAR(T15)+$Q$6+R16,MONTH(T15),DAY(T15)))&gt;N$6,"01.01.1900",IF($Q$6+R16&gt;6,0,DATE(YEAR(T15)+$Q$6+R16,MONTH(T15),DAY(T15))))</f>
        <v>#VALUE!</v>
      </c>
      <c r="U16" s="61"/>
      <c r="V16" s="61"/>
      <c r="W16" s="61"/>
      <c r="X16" s="62"/>
      <c r="Y16" s="62"/>
      <c r="Z16" s="87"/>
      <c r="AA16" s="82"/>
      <c r="AB16" s="82"/>
      <c r="AM16" s="82"/>
      <c r="AN16" s="82"/>
      <c r="AO16" s="82"/>
      <c r="AP16" s="82"/>
    </row>
    <row r="17" spans="2:46" hidden="1" outlineLevel="1" x14ac:dyDescent="0.35">
      <c r="B17" s="64"/>
      <c r="J17" s="84"/>
      <c r="K17" s="88"/>
      <c r="L17" s="89"/>
      <c r="M17" s="90"/>
      <c r="N17" s="90"/>
      <c r="O17" s="90"/>
      <c r="P17" s="90"/>
      <c r="Q17" s="90"/>
      <c r="R17" s="61"/>
      <c r="S17" s="61"/>
      <c r="T17" s="61"/>
      <c r="U17" s="61"/>
      <c r="V17" s="61"/>
      <c r="W17" s="61"/>
      <c r="X17" s="62"/>
      <c r="Y17" s="62"/>
      <c r="Z17" s="87"/>
      <c r="AA17" s="82"/>
      <c r="AB17" s="82"/>
      <c r="AM17" s="82"/>
      <c r="AN17" s="82"/>
      <c r="AO17" s="82"/>
      <c r="AP17" s="82"/>
    </row>
    <row r="18" spans="2:46" ht="22.5" customHeight="1" collapsed="1" x14ac:dyDescent="0.35">
      <c r="B18" s="209"/>
      <c r="J18" s="84"/>
      <c r="K18" s="88"/>
      <c r="L18" s="89"/>
      <c r="M18" s="90"/>
      <c r="N18" s="90"/>
      <c r="O18" s="90"/>
      <c r="P18" s="90"/>
      <c r="Q18" s="90"/>
      <c r="R18" s="61"/>
      <c r="S18" s="61"/>
      <c r="T18" s="61"/>
      <c r="U18" s="61"/>
      <c r="V18" s="61"/>
      <c r="W18" s="61"/>
      <c r="X18" s="62"/>
      <c r="Y18" s="62"/>
      <c r="Z18" s="87"/>
      <c r="AA18" s="82"/>
      <c r="AB18" s="82"/>
      <c r="AM18" s="82"/>
      <c r="AN18" s="82"/>
      <c r="AO18" s="82"/>
      <c r="AP18" s="82"/>
    </row>
    <row r="19" spans="2:46" ht="16.5" thickBot="1" x14ac:dyDescent="0.4">
      <c r="J19" s="84"/>
      <c r="K19" s="62"/>
      <c r="L19" s="62"/>
      <c r="M19" s="62"/>
      <c r="N19" s="84"/>
      <c r="O19" s="62"/>
      <c r="P19" s="62"/>
      <c r="Q19" s="62"/>
      <c r="R19" s="62"/>
      <c r="S19" s="62"/>
      <c r="T19" s="62"/>
      <c r="U19" s="62"/>
      <c r="V19" s="62"/>
      <c r="W19" s="62"/>
      <c r="X19" s="62"/>
      <c r="Y19" s="62"/>
      <c r="AS19" s="92"/>
      <c r="AT19" s="82"/>
    </row>
    <row r="20" spans="2:46" ht="25.5" customHeight="1" thickBot="1" x14ac:dyDescent="0.4">
      <c r="J20" s="787">
        <f>YEAR(M6)</f>
        <v>1900</v>
      </c>
      <c r="K20" s="788"/>
      <c r="L20" s="788"/>
      <c r="M20" s="788"/>
      <c r="N20" s="788"/>
      <c r="O20" s="789"/>
      <c r="P20" s="790">
        <f>J20+1</f>
        <v>1901</v>
      </c>
      <c r="Q20" s="791"/>
      <c r="R20" s="791"/>
      <c r="S20" s="791"/>
      <c r="T20" s="791"/>
      <c r="U20" s="791"/>
      <c r="V20" s="791"/>
      <c r="W20" s="791"/>
      <c r="X20" s="791"/>
      <c r="Y20" s="791"/>
      <c r="Z20" s="791"/>
      <c r="AA20" s="792"/>
      <c r="AB20" s="772">
        <f>P20+1</f>
        <v>1902</v>
      </c>
      <c r="AC20" s="773"/>
      <c r="AD20" s="773"/>
      <c r="AE20" s="773"/>
      <c r="AF20" s="773"/>
      <c r="AG20" s="774"/>
      <c r="AR20" s="82"/>
      <c r="AS20" s="82"/>
      <c r="AT20" s="82"/>
    </row>
    <row r="21" spans="2:46" ht="16.5" thickBot="1" x14ac:dyDescent="0.4">
      <c r="B21" s="93"/>
      <c r="C21" s="94"/>
      <c r="D21" s="94"/>
      <c r="E21" s="94"/>
      <c r="F21" s="94"/>
      <c r="G21" s="94"/>
      <c r="H21" s="96"/>
      <c r="I21" s="95"/>
      <c r="J21" s="97" t="s">
        <v>0</v>
      </c>
      <c r="K21" s="98" t="s">
        <v>1</v>
      </c>
      <c r="L21" s="97" t="s">
        <v>0</v>
      </c>
      <c r="M21" s="98" t="s">
        <v>1</v>
      </c>
      <c r="N21" s="97" t="s">
        <v>0</v>
      </c>
      <c r="O21" s="98" t="s">
        <v>1</v>
      </c>
      <c r="P21" s="99" t="s">
        <v>0</v>
      </c>
      <c r="Q21" s="100" t="s">
        <v>1</v>
      </c>
      <c r="R21" s="101"/>
      <c r="S21" s="101"/>
      <c r="T21" s="101"/>
      <c r="U21" s="101"/>
      <c r="V21" s="443" t="s">
        <v>0</v>
      </c>
      <c r="W21" s="444" t="s">
        <v>1</v>
      </c>
      <c r="X21" s="445"/>
      <c r="Y21" s="445"/>
      <c r="Z21" s="99" t="s">
        <v>0</v>
      </c>
      <c r="AA21" s="100" t="s">
        <v>1</v>
      </c>
      <c r="AB21" s="102" t="s">
        <v>0</v>
      </c>
      <c r="AC21" s="103" t="s">
        <v>1</v>
      </c>
      <c r="AD21" s="102" t="s">
        <v>0</v>
      </c>
      <c r="AE21" s="103" t="s">
        <v>1</v>
      </c>
      <c r="AF21" s="102" t="s">
        <v>0</v>
      </c>
      <c r="AG21" s="103" t="s">
        <v>1</v>
      </c>
    </row>
    <row r="22" spans="2:46" ht="16.5" thickBot="1" x14ac:dyDescent="0.4">
      <c r="B22" s="123" t="s">
        <v>110</v>
      </c>
      <c r="C22" s="124"/>
      <c r="D22" s="124"/>
      <c r="E22" s="124"/>
      <c r="F22" s="124"/>
      <c r="G22" s="124"/>
      <c r="H22" s="126"/>
      <c r="I22" s="125"/>
      <c r="J22" s="332">
        <f>IF(OR(ISBLANK($M$6),ISBLANK($N$6)),"",IF(J20=YEAR($M$6),$M$6,""))</f>
        <v>0</v>
      </c>
      <c r="K22" s="328" t="e">
        <f>IF(IF(OR(ISBLANK($M$6),ISBLANK($N$6)),"",IF(J20=YEAR($M$6),$M$6,""))="","",IF(OR(ISBLANK($M$6),ISBLANK($N$6)),"",IF(AND(J20=YEAR($N$6),$V$6&gt;$N$6),$N$6,IF(J20=YEAR($V$6),$V$6-1,IF(J20=YEAR($T$12),$T$12-1,IF(J20=YEAR($T$13),$T$13-1,IF(J20=YEAR($T$14),$T$14-1,IF(J20=YEAR($T$15),$T$15-1,IF(J20=YEAR($T$16),$T$16-1,IF(YEAR($N$6)=J20,$N$6,DATE(J20,12,31)))))))))))</f>
        <v>#VALUE!</v>
      </c>
      <c r="L22" s="327" t="e">
        <f>IF(AND(N6&lt;V6,YEAR(N6)=YEAR(V6))=TRUE,"",IF(OR(ISBLANK(M6),ISBLANK(N6)),"",IF(AND(J20=YEAR($J$20),$V$6&gt;$J$20),"",IF(J20=YEAR($V$6),$V$6,IF(J20=YEAR($T$12),$T$12,IF(J20=YEAR($T$13),$T$13,IF(J20=YEAR($T$14),$T$14,IF(J20=YEAR($T$15),$T$15,IF(J20=YEAR($T$16),$T$16,"")))))))))</f>
        <v>#VALUE!</v>
      </c>
      <c r="M22" s="329" t="e">
        <f>IF(OR(ISBLANK($M$6),ISBLANK($N$6)),"",IF(IF(AND(J20=YEAR($N$6),$V$6&gt;$N$6),"",IF(J20=YEAR($V$6),$V$6,IF(J20=YEAR($T$12),$T$12,IF(J20=YEAR($T$13),$T$13,IF(J20=YEAR($T$14),$T$14,IF(J20=YEAR($T$15),$T$15,IF(J20=YEAR($T$16),$T$16,"")))))))="","",IF(YEAR($N$6)=J20,$N$6,DATE(J20,12,31))))</f>
        <v>#VALUE!</v>
      </c>
      <c r="N22" s="110"/>
      <c r="O22" s="110"/>
      <c r="P22" s="327" t="str">
        <f>IF(OR(ISBLANK($M$6),ISBLANK($N$6)),"",IF(YEAR(N6)&lt;P20,"",IF(P20&lt;YEAR($M$6),$M$6,IF(YEAR($N$6)&gt;=P20,DATE(P20,1,1),""))))</f>
        <v/>
      </c>
      <c r="Q22" s="328" t="str">
        <f>IF(IF(P20&lt;YEAR($M$6),$M$6,IF(YEAR($N$6)&gt;=P20,DATE(P20,1,1),""))="","",IF(AND(MONTH(1)=MONTH($V$6),P20=YEAR($N$6)),$N$6,IF(AND($V$6&lt;$N$6,$N$6&gt;$T$12,),$N$6,IF(MONTH(1)=MONTH($V$6),DATE(P20,12,31),IF(AND(P20=YEAR($N$6),$V$6&gt;$N$6),$N$6,IF(P20=YEAR($V$6),$V$6-1,IF(P20=YEAR($T$12),$T$12-1,IF(P20=YEAR($T$13),$T$13-1,IF(P20=YEAR($T$14),$T$14-1,IF(P20=YEAR($T$15),$T$15-1,IF(P20=YEAR($T$16),$T$16-1,IF(YEAR($N$6)=P20,$N$6,DATE(P20,12,31)))))))))))))</f>
        <v/>
      </c>
      <c r="R22" s="108"/>
      <c r="S22" s="109"/>
      <c r="T22" s="108"/>
      <c r="U22" s="110"/>
      <c r="V22" s="327" t="str">
        <f>IF(IF(OR(ISBLANK($M$6),ISBLANK($N$6)),"",IF(P20&lt;YEAR($M$6),$M$6,IF(YEAR($N$6)&gt;=P20,DATE(P20,1,1),"")))="","",IF(MONTH(1)=MONTH($V$6),"",IF(AND(P20=YEAR($N$6),$V$6&gt;$N$6),"",IF(P20=YEAR($V$6),$V$6,IF(P20=YEAR($T$12),$T$12,IF(P20=YEAR($T$13),$T$13,IF(P20=YEAR($T$14),$T$14,IF(P20=YEAR($T$15),$T$15,IF(P20=YEAR($T$16),$T$16,"")))))))))</f>
        <v/>
      </c>
      <c r="W22" s="794" t="str">
        <f>IF(IF(OR(ISBLANK($M$6),ISBLANK($N$6)),"",IF(P20&lt;YEAR($M$6),$M$6,IF(YEAR($N$6)&gt;=P20,DATE(P20,1,1),"")))="","",IF(MONTH(1)=MONTH($V$6),"",IF(IF(AND(P20=YEAR($N$6),$V$6&gt;$N$6),"",IF(P20=YEAR($V$6),$V$6,IF(P20=YEAR($T$12),$T$12,IF(P20=YEAR($T$13),$T$13,IF(P20=YEAR($T$14),$T$14,IF(P20=YEAR($T$15),$T$15,IF(P20=YEAR($T$16),$T$16,"")))))))="","",IF(YEAR($N$6)=P20,$N$6,DATE(P20,12,31)))))</f>
        <v/>
      </c>
      <c r="X22" s="794"/>
      <c r="Y22" s="795"/>
      <c r="Z22" s="108"/>
      <c r="AA22" s="109"/>
      <c r="AB22" s="327" t="str">
        <f>IF(AB20&lt;YEAR($M$6),$M$6,IF(YEAR($N$6)&gt;=AB20,DATE(AB20,1,1),""))</f>
        <v/>
      </c>
      <c r="AC22" s="328" t="str">
        <f>IF(IF(AB20&lt;YEAR($M$6),$M$6,IF(YEAR($N$6)&gt;=AB20,DATE(AB20,1,1),""))="","",IF(AND(MONTH(1)=MONTH($V$6),AB20=YEAR($N$6)),$N$6,IF(AND($V$6&lt;$N$6,$N$6&gt;$T$12,),$N$6,IF(MONTH(1)=MONTH($V$6),DATE(AB20,12,31),IF(AND(AB20=YEAR($N$6),$V$6&gt;$N$6),$N$6,IF(AB20=YEAR($V$6),$V$6-1,IF(AB20=YEAR($T$12),$T$12-1,IF(AB20=YEAR($T$13),$T$13-1,IF(AB20=YEAR($T$14),$T$14-1,IF(AB20=YEAR($T$15),$T$15-1,IF(AB20=YEAR($T$16),$T$16-1,IF(YEAR($N$6)=AB20,$N$6,DATE(AB20,12,31)))))))))))))</f>
        <v/>
      </c>
      <c r="AD22" s="327" t="str">
        <f>IF(IF(OR(ISBLANK($M$6),ISBLANK($N$6)),"",IF(AB20&lt;YEAR($M$6),$M$6,IF(YEAR($N$6)&gt;=AB20,DATE(AB20,1,1),"")))="","",IF(MONTH(1)=MONTH($V$6),"",IF(AND(AB20=YEAR($N$6),$V$6&gt;$N$6),"",IF(AB20=YEAR($V$6),$V$6,IF(AB20=YEAR($T$12),$T$12,IF(AB20=YEAR($T$13),$T$13,IF(AB20=YEAR($T$14),$T$14,IF(AB20=YEAR($T$15),$T$15,IF(AB20=YEAR($T$16),$T$16,IF($N$6&lt;$T$12,"",""))))))))))</f>
        <v/>
      </c>
      <c r="AE22" s="329" t="str">
        <f>IF(AD22="","",IF(IF(OR(ISBLANK($M$6),ISBLANK($N$6)),"",IF(AB20&lt;YEAR($M$6),$M$6,IF(YEAR($N$6)&gt;=AB20,DATE(AB20,1,1),"")))="","",IF(MONTH(1)=MONTH($V$6),"",IF(IF(AND(AB20=YEAR($N$6),$V$6&gt;$N$6),"",IF(AB20=YEAR($V$6),$V$6,IF(AB20=YEAR($T$12),$T$12,IF(AB20=YEAR($T$13),$T$13,IF(AB20=YEAR($T$14),$T$14,IF(AB20=YEAR($T$15),$T$15,IF(AB20=YEAR($T$16),$T$16,"")))))))="","",IF(YEAR($N$6)=AB20,$N$6,DATE(AB20,12,31))))))</f>
        <v/>
      </c>
      <c r="AF22" s="110"/>
      <c r="AG22" s="109"/>
    </row>
    <row r="23" spans="2:46" ht="16.149999999999999" hidden="1" customHeight="1" outlineLevel="1" thickBot="1" x14ac:dyDescent="0.4">
      <c r="B23" s="442"/>
      <c r="C23" s="105"/>
      <c r="D23" s="105"/>
      <c r="E23" s="105"/>
      <c r="F23" s="105"/>
      <c r="G23" s="105"/>
      <c r="H23" s="82"/>
      <c r="I23" s="105"/>
      <c r="J23" s="441" t="e">
        <f>IF(J22="",0,(EOMONTH(J22,0)-J22+1)/(EOMONTH(J22,0)-EOMONTH(J22,-1))+(K22-EOMONTH(K22,-1))/(EOMONTH(K22,0)-EOMONTH(K22,-1))+MONTH(K22)-MONTH(J22)-1+(YEAR(K22)-YEAR(J22))*12)</f>
        <v>#NUM!</v>
      </c>
      <c r="K23" s="112" t="e">
        <f>IF(AND(DAY(J22)&gt;1,MONTH(J22)&lt;&gt;MONTH(K22)),30-DAY(J22)+1,IF(J22="",0,(IF(MONTH(J22)=MONTH(K22),IF(OR(K22=C57,K22=C58,K22=C59,K22=C60,K22=C61,K22=C62,K22=C63,K22=C64,K22=C65,K22=C66,K22=C67,K22=C68),30-DAY(J22)+1,IF(MONTH(J22)=MONTH(K22),DAY(K22)-DAY(J22)+1,0))))))</f>
        <v>#VALUE!</v>
      </c>
      <c r="L23" s="111" t="e">
        <f>IF(L22="",0,(EOMONTH(L22,0)-L22+1)/(EOMONTH(L22,0)-EOMONTH(L22,-1))+(M22-EOMONTH(M22,-1))/(EOMONTH(M22,0)-EOMONTH(M22,-1))+MONTH(M22)-MONTH(L22)-1+(YEAR(M22)-YEAR(L22))*12)</f>
        <v>#VALUE!</v>
      </c>
      <c r="M23" s="112" t="e">
        <f>IF(L22="",0,IF(AND(DAY(L22)=1,MONTH(L22)&lt;&gt;MONTH(M22)),30,IF(AND(DAY(L22)&gt;1,MONTH(L22)&lt;&gt;MONTH(M22)),30-DAY(L22)+1,IF(MONTH(L22)=MONTH(M22),IF(OR(M22=C57,M22=C58,M22=C59,M22=C60,M22=C61,M22=C62,M22=C63,M22=C64,M22=C65,M22=C66,M22=C67,M22=C68),30-DAY(L22)+1,IF(MONTH(L22)=MONTH(M22),DAY(M22)-DAY(L22)+1,0))))))</f>
        <v>#VALUE!</v>
      </c>
      <c r="N23" s="111">
        <f>IF(N22="",0,(EOMONTH(N22,0)-N22+1)/(EOMONTH(N22,0)-EOMONTH(N22,-1))+(O22-EOMONTH(O22,-1))/(EOMONTH(O22,0)-EOMONTH(O22,-1))+MONTH(O22)-MONTH(N22)-1+(YEAR(O22)-YEAR(N22))*12)</f>
        <v>0</v>
      </c>
      <c r="O23" s="112">
        <f>IF(N22="",0,IF(AND(DAY(N22)=1,MONTH(N22)&lt;&gt;MONTH(O22)),30,IF(AND(DAY(N22)&gt;1,MONTH(N22)&lt;&gt;MONTH(O22)),30-DAY(N22)+1,IF(MONTH(N22)=MONTH(O22),IF(OR(O22=C57,O22=C58,O22=C59,O22=C60,O22=C61,O22=C62,O22=C63,O22=C64,O22=C65,O22=C66,O22=C67,O22=C68),30-DAY(N22)+1,IF(MONTH(N22)=MONTH(O22),DAY(O22)-DAY(N22)+1,0))))))</f>
        <v>0</v>
      </c>
      <c r="P23" s="111">
        <f>IF(P22="",0,(EOMONTH(P22,0)-P22+1)/(EOMONTH(P22,0)-EOMONTH(P22,-1))+(Q22-EOMONTH(Q22,-1))/(EOMONTH(Q22,0)-EOMONTH(Q22,-1))+MONTH(Q22)-MONTH(P22)-1+(YEAR(Q22)-YEAR(P22))*12)</f>
        <v>0</v>
      </c>
      <c r="Q23" s="113" t="e">
        <f>IF(AND(DAY(P22)&gt;1,MONTH(P22)&lt;&gt;MONTH(Q22)),30-DAY(P22)+1,IF(P22="",0,(IF(MONTH(P22)=MONTH(Q22),IF(OR(Q22=R57,Q22=R58,Q22=R59,Q22=R60,Q22=R61,Q22=R62,Q22=R63,Q22=R64,Q22=R65,Q22=R66,Q22=R67,Q22=R68),30-DAY(P22)+1,IF(MONTH(P22)=MONTH(Q22),DAY(Q22)-DAY(P22)+1,0))))))</f>
        <v>#VALUE!</v>
      </c>
      <c r="R23" s="114"/>
      <c r="S23" s="114"/>
      <c r="T23" s="114"/>
      <c r="U23" s="114"/>
      <c r="V23" s="111">
        <f>IF(V22="",0,(EOMONTH(V22,0)-V22+1)/(EOMONTH(V22,0)-EOMONTH(V22,-1))+(W22-EOMONTH(W22,-1))/(EOMONTH(W22,0)-EOMONTH(W22,-1))+MONTH(W22)-MONTH(V22)-1+(YEAR(W22)-YEAR(V22))*12)</f>
        <v>0</v>
      </c>
      <c r="W23" s="112">
        <f>IF(V22="",0,IF(AND(DAY(V22)=1,MONTH(V22)&lt;&gt;MONTH(W22)),30,IF(AND(DAY(V22)&gt;1,MONTH(V22)&lt;&gt;MONTH(W22)),30-DAY(V22)+1,IF(MONTH(V22)=MONTH(W22),IF(OR(W22=R57,W22=R58,W22=R59,W22=R60,W22=R61,W22=R62,W22=R63,W22=R64,W22=R65,W22=R66,W22=R67,W22=R68),30-DAY(V22)+1,IF(MONTH(V22)=MONTH(W22),DAY(W22)-DAY(V22)+1,0))))))</f>
        <v>0</v>
      </c>
      <c r="X23" s="115"/>
      <c r="Y23" s="115"/>
      <c r="Z23" s="111">
        <f>IF(Z22="",0,(EOMONTH(Z22,0)-Z22+1)/(EOMONTH(Z22,0)-EOMONTH(Z22,-1))+(AA22-EOMONTH(AA22,-1))/(EOMONTH(AA22,0)-EOMONTH(AA22,-1))+MONTH(AA22)-MONTH(Z22)-1+(YEAR(AA22)-YEAR(Z22))*12)</f>
        <v>0</v>
      </c>
      <c r="AA23" s="112">
        <f>IF(Z22="",0,IF(AND(DAY(Z22)=1,MONTH(Z22)&lt;&gt;MONTH(AA22)),30,IF(AND(DAY(Z22)&gt;1,MONTH(Z22)&lt;&gt;MONTH(AA22)),30-DAY(Z22)+1,IF(MONTH(Z22)=MONTH(AA22),IF(OR(AA22=R57,AA22=R58,AA22=R59,AA22=R60,AA22=R61,AA22=R62,AA22=R63,AA22=R64,AA22=R65,AA22=R66,AA22=R67,AA22=R68),30-DAY(Z22)+1,IF(MONTH(Z22)=MONTH(AA22),DAY(AA22)-DAY(Z22)+1,0))))))</f>
        <v>0</v>
      </c>
      <c r="AB23" s="111">
        <f>IF(AB22="",0,(EOMONTH(AB22,0)-AB22+1)/(EOMONTH(AB22,0)-EOMONTH(AB22,-1))+(AC22-EOMONTH(AC22,-1))/(EOMONTH(AC22,0)-EOMONTH(AC22,-1))+MONTH(AC22)-MONTH(AB22)-1+(YEAR(AC22)-YEAR(AB22))*12)</f>
        <v>0</v>
      </c>
      <c r="AC23" s="112" t="e">
        <f>IF(AND(DAY(AB22)&gt;1,MONTH(AB22)&lt;&gt;MONTH(AC22)),30-DAY(AB22)+1,IF(AB22="",0,(IF(MONTH(AB22)=MONTH(AC22),IF(OR(AC22=AH57,AC22=AH58,AC22=AH59,AC22=AH60,AC22=AH61,AC22=AH62,AC22=AH63,AC22=AH64,AC22=AH65,AC22=AH66,AC22=AH67,AC22=AH68),30-DAY(AB22)+1,IF(MONTH(AB22)=MONTH(AC22),DAY(AC22)-DAY(AB22)+1,0))))))</f>
        <v>#VALUE!</v>
      </c>
      <c r="AD23" s="111">
        <f>IF(AD22="",0,(EOMONTH(AD22,0)-AD22+1)/(EOMONTH(AD22,0)-EOMONTH(AD22,-1))+(AE22-EOMONTH(AE22,-1))/(EOMONTH(AE22,0)-EOMONTH(AE22,-1))+MONTH(AE22)-MONTH(AD22)-1+(YEAR(AE22)-YEAR(AD22))*12)</f>
        <v>0</v>
      </c>
      <c r="AE23" s="112">
        <f>IF(AD22="",0,IF(AND(DAY(AD22)=1,MONTH(AD22)&lt;&gt;MONTH(AE22)),30,IF(AND(DAY(AD22)&gt;1,MONTH(AD22)&lt;&gt;MONTH(AE22)),30-DAY(AD22)+1,IF(MONTH(AD22)=MONTH(AE22),IF(OR(AE22=AH57,AE22=AH58,AE22=AH59,AE22=AH60,AE22=AH61,AE22=AH62,AE22=AH63,AE22=AH64,AE22=AH65,AE22=AH66,AE22=AH67,AE22=AH68),30-DAY(AD22)+1,IF(MONTH(AD22)=MONTH(AE22),DAY(AE22)-DAY(AD22)+1,0))))))</f>
        <v>0</v>
      </c>
      <c r="AF23" s="111">
        <f>IF(AF22="",0,(EOMONTH(AF22,0)-AF22+1)/(EOMONTH(AF22,0)-EOMONTH(AF22,-1))+(AG22-EOMONTH(AG22,-1))/(EOMONTH(AG22,0)-EOMONTH(AG22,-1))+MONTH(AG22)-MONTH(AF22)-1+(YEAR(AG22)-YEAR(AF22))*12)</f>
        <v>0</v>
      </c>
      <c r="AG23" s="112">
        <f>IF(AF22="",0,IF(AND(DAY(AF22)=1,MONTH(AF22)&lt;&gt;MONTH(AG22)),30,IF(AND(DAY(AF22)&gt;1,MONTH(AF22)&lt;&gt;MONTH(AG22)),30-DAY(AF22)+1,IF(MONTH(AF22)=MONTH(AG22),IF(OR(AG22=AH57,AG22=AH58,AG22=AH59,AG22=AH60,AG22=AH61,AG22=AH62,AG22=AH63,AG22=AH64,AG22=AH65,AG22=AH66,AG22=AH67,AG22=AH68),30-DAY(AF22)+1,IF(MONTH(AF22)=MONTH(AG22),DAY(AG22)-DAY(AF22)+1,0))))))</f>
        <v>0</v>
      </c>
    </row>
    <row r="24" spans="2:46" ht="16.5" collapsed="1" thickBot="1" x14ac:dyDescent="0.4">
      <c r="B24" s="116" t="s">
        <v>2</v>
      </c>
      <c r="C24" s="117"/>
      <c r="D24" s="117"/>
      <c r="E24" s="117"/>
      <c r="F24" s="117"/>
      <c r="G24" s="117"/>
      <c r="H24" s="117"/>
      <c r="I24" s="118"/>
      <c r="J24" s="669" t="e">
        <f>IF(J22="",0,(J27*J31)*(J32+100%))</f>
        <v>#N/A</v>
      </c>
      <c r="K24" s="670"/>
      <c r="L24" s="671" t="e">
        <f>IF(L22="",0,(L27*L31)*(L32+100%))</f>
        <v>#VALUE!</v>
      </c>
      <c r="M24" s="670"/>
      <c r="N24" s="671">
        <f>IF(N22="",0,(N27*N31)*(N32+100%))</f>
        <v>0</v>
      </c>
      <c r="O24" s="670"/>
      <c r="P24" s="671">
        <f>IF(P22="",0,(P27*P31)*(P32+100%))</f>
        <v>0</v>
      </c>
      <c r="Q24" s="670"/>
      <c r="R24" s="613"/>
      <c r="S24" s="613"/>
      <c r="T24" s="613"/>
      <c r="U24" s="613"/>
      <c r="V24" s="671">
        <f>IF(V22="",0,(V27*V31)*(V32+100%))</f>
        <v>0</v>
      </c>
      <c r="W24" s="669"/>
      <c r="X24" s="669"/>
      <c r="Y24" s="670"/>
      <c r="Z24" s="671">
        <f>IF(Z22="",0,(Z27*Z31)*(Z32+100%))</f>
        <v>0</v>
      </c>
      <c r="AA24" s="670"/>
      <c r="AB24" s="671">
        <f>IF(AB22="",0,(AB27*AB31)*(AB32+100%))</f>
        <v>0</v>
      </c>
      <c r="AC24" s="670"/>
      <c r="AD24" s="671">
        <f>IF(AD22="",0,(AD27*AD31)*(AD32+100%))</f>
        <v>0</v>
      </c>
      <c r="AE24" s="670"/>
      <c r="AF24" s="671">
        <f>IF(AF22="",0,(AF27*AF31)*(AF32+100%))</f>
        <v>0</v>
      </c>
      <c r="AG24" s="670"/>
    </row>
    <row r="25" spans="2:46" x14ac:dyDescent="0.35">
      <c r="B25" s="120" t="s">
        <v>3</v>
      </c>
      <c r="C25" s="94"/>
      <c r="D25" s="94"/>
      <c r="E25" s="94"/>
      <c r="F25" s="94"/>
      <c r="G25" s="94"/>
      <c r="H25" s="121"/>
      <c r="I25" s="95"/>
      <c r="J25" s="672" t="str">
        <f>IF(J22="","",P6)</f>
        <v>Bitte auswählen</v>
      </c>
      <c r="K25" s="673"/>
      <c r="L25" s="674" t="e">
        <f>IF(L22="","",IF(IF(OR(ISBLANK(M6),ISBLANK(N6)),"",IF(AND(J20=YEAR($J$20),$V$6&gt;$J$20),"",IF(J20=YEAR($V$6),$V$6,IF(J20=YEAR($T$12),$T$12,IF(J20=YEAR($T$13),$T$13,IF(J20=YEAR($T$14),$T$14,IF(J20=YEAR($T$15),$T$15,IF(J20=YEAR($T$16),$T$16,""))))))))="","",$P$6))</f>
        <v>#VALUE!</v>
      </c>
      <c r="M25" s="673"/>
      <c r="N25" s="675"/>
      <c r="O25" s="676"/>
      <c r="P25" s="716" t="str">
        <f>IF(IF(OR(ISBLANK($M$6),ISBLANK($N$6)),"",IF(P20&lt;YEAR($M$6),$M$6,IF(YEAR($N$6)&gt;=P20,DATE(P20,1,1),"")))="","",$P$6)</f>
        <v/>
      </c>
      <c r="Q25" s="717"/>
      <c r="R25" s="611"/>
      <c r="S25" s="611"/>
      <c r="T25" s="611"/>
      <c r="U25" s="611"/>
      <c r="V25" s="674" t="e">
        <f>IF(OR(V22=$V$6,V22=$T$12,V22=$T$13,V22=$T$14,V22=$T$15,V22=$T$16),P25,"")</f>
        <v>#VALUE!</v>
      </c>
      <c r="W25" s="672"/>
      <c r="X25" s="672"/>
      <c r="Y25" s="673"/>
      <c r="Z25" s="731"/>
      <c r="AA25" s="732"/>
      <c r="AB25" s="674" t="str">
        <f>IF(IF(OR(ISBLANK($M$6),ISBLANK($N$6)),"",IF(AB20&lt;YEAR($M$6),$M$6,IF(YEAR($N$6)&gt;=AB20,DATE(AB20,1,1),"")))="","",$P$6)</f>
        <v/>
      </c>
      <c r="AC25" s="673"/>
      <c r="AD25" s="716" t="e">
        <f>IF(OR(AD22=$V$6,AD22=$T$12,AD22=$T$13,AD22=$T$14,AD22=$T$15,AD22=$T$16),AB25,"")</f>
        <v>#VALUE!</v>
      </c>
      <c r="AE25" s="717"/>
      <c r="AF25" s="731"/>
      <c r="AG25" s="732"/>
    </row>
    <row r="26" spans="2:46" ht="18" thickBot="1" x14ac:dyDescent="0.4">
      <c r="B26" s="123" t="s">
        <v>171</v>
      </c>
      <c r="C26" s="124"/>
      <c r="D26" s="124"/>
      <c r="E26" s="124"/>
      <c r="F26" s="124"/>
      <c r="G26" s="124"/>
      <c r="H26" s="126"/>
      <c r="I26" s="125"/>
      <c r="J26" s="793" t="str">
        <f>IF(ISBLANK(Q6),"",Q6)</f>
        <v>Bitte auswählen</v>
      </c>
      <c r="K26" s="717"/>
      <c r="L26" s="716" t="e">
        <f>IF(ISBLANK(V6),"",IF(L22=$V$6,$S$12,IF(L22=$T$12,$S$13,IF(L22=$T$13,$S$14,IF(L22=$T$14,$S$15,IF(L22=$T$15,$S$16,""))))))</f>
        <v>#VALUE!</v>
      </c>
      <c r="M26" s="717"/>
      <c r="N26" s="675"/>
      <c r="O26" s="676"/>
      <c r="P26" s="755" t="str">
        <f>IF(P22="","",IF(P22=$V$6,S12,IF(YEAR(N6)&lt;P20,"",IF(IF(L22=$V$6,$S$12,IF(L22=$T$12,$S$13,IF(L22=$T$13,$S$14,IF(L22=$T$14,$S$15,IF(L22=$T$15,$S$16,"")))))="",J26,L26))))</f>
        <v/>
      </c>
      <c r="Q26" s="756"/>
      <c r="R26" s="611"/>
      <c r="S26" s="611"/>
      <c r="T26" s="611"/>
      <c r="U26" s="611"/>
      <c r="V26" s="785" t="str">
        <f>IF(V22="","",IF(ISBLANK(Q6),"",IF(V22=$V$6,$S$12,IF(V22=$T$12,$S$13,IF(V22=$T$13,$S$14,IF(V22=$T$14,$S$15,IF(V22=$T$15,$S$16,"")))))))</f>
        <v/>
      </c>
      <c r="W26" s="796"/>
      <c r="X26" s="796"/>
      <c r="Y26" s="786"/>
      <c r="Z26" s="722"/>
      <c r="AA26" s="723"/>
      <c r="AB26" s="716" t="str">
        <f>IF(AB22="","",IF(AB22=$V$6,$S$12,IF(AB22=$T$12,$S$13,IF(AB22=$T$13,$S$14,IF(AB22=$T$14,$S$15,IF(AB22=$T$15,$S$16,IF(V26="",P26,V26)))))))</f>
        <v/>
      </c>
      <c r="AC26" s="717"/>
      <c r="AD26" s="785" t="str">
        <f>IF(AD22="","",IF(ISBLANK(V6),"",IF(AD22=$V$6,$S$12,IF(AD22=$T$12,$S$13,IF(AD22=$T$13,$S$14,IF(AD22=$T$14,$S$15,IF(AD22=$T$15,$S$16,"")))))))</f>
        <v/>
      </c>
      <c r="AE26" s="786"/>
      <c r="AF26" s="722"/>
      <c r="AG26" s="723"/>
    </row>
    <row r="27" spans="2:46" x14ac:dyDescent="0.35">
      <c r="B27" s="120" t="s">
        <v>4</v>
      </c>
      <c r="C27" s="94"/>
      <c r="D27" s="94"/>
      <c r="E27" s="94"/>
      <c r="F27" s="94"/>
      <c r="G27" s="94"/>
      <c r="H27" s="121"/>
      <c r="I27" s="95"/>
      <c r="J27" s="739">
        <f>IF(ISERROR(INDEX(EntgelteJahr1,MATCH(J25,GruppeJahr1,0),MATCH(J26,StufeJahr1,0))),0,INDEX(EntgelteJahr1,MATCH(J25,GruppeJahr1,0),MATCH(J26,StufeJahr1,0)))</f>
        <v>0</v>
      </c>
      <c r="K27" s="715"/>
      <c r="L27" s="714">
        <f>IF(ISERROR(INDEX(EntgelteJahr1,MATCH(L25,GruppeJahr1,0),MATCH(L26,StufeJahr1,0))),0,INDEX(EntgelteJahr1,MATCH(L25,GruppeJahr1,0),MATCH(L26,StufeJahr1,0)))</f>
        <v>0</v>
      </c>
      <c r="M27" s="715"/>
      <c r="N27" s="714">
        <f>IF(ISERROR(INDEX(EntgelteJahr1,MATCH(N25,GruppeJahr1,0),MATCH(N26,StufeJahr1,0))),0,INDEX(EntgelteJahr1,MATCH(N25,GruppeJahr1,0),MATCH(N26,StufeJahr1,0)))</f>
        <v>0</v>
      </c>
      <c r="O27" s="715"/>
      <c r="P27" s="714">
        <f>IF(ISERROR(INDEX(EntgelteJahr2,MATCH(P25,GruppeJahr2,0),MATCH(P26,StufeJahr2,0))),0,INDEX(EntgelteJahr2,MATCH(P25,GruppeJahr2,0),MATCH(P26,StufeJahr2,0)))</f>
        <v>0</v>
      </c>
      <c r="Q27" s="715"/>
      <c r="R27" s="122"/>
      <c r="S27" s="122"/>
      <c r="T27" s="122"/>
      <c r="U27" s="122"/>
      <c r="V27" s="714">
        <f>IF(ISERROR(INDEX(EntgelteJahr2,MATCH(V25,GruppeJahr2,0),MATCH(V26,StufeJahr2,0))),0,INDEX(EntgelteJahr2,MATCH(V25,GruppeJahr2,0),MATCH(V26,StufeJahr2,0)))</f>
        <v>0</v>
      </c>
      <c r="W27" s="739"/>
      <c r="X27" s="739"/>
      <c r="Y27" s="715"/>
      <c r="Z27" s="714">
        <f>IF(ISERROR(INDEX(EntgelteJahr2,MATCH(Z25,GruppeJahr2,0),MATCH(Z26,StufeJahr2,0))),0,INDEX(EntgelteJahr2,MATCH(Z25,GruppeJahr2,0),MATCH(Z26,StufeJahr2,0)))</f>
        <v>0</v>
      </c>
      <c r="AA27" s="715"/>
      <c r="AB27" s="714">
        <f>IF(ISERROR(INDEX(EntgelteJahr3,MATCH(AB25,GruppeJahr3,0),MATCH(AB26,StufeJahr3,0))),0,INDEX(EntgelteJahr3,MATCH(AB25,GruppeJahr3,0),MATCH(AB26,StufeJahr3,0)))</f>
        <v>0</v>
      </c>
      <c r="AC27" s="715"/>
      <c r="AD27" s="714">
        <f>IF(ISERROR(INDEX(EntgelteJahr3,MATCH(AD25,GruppeJahr3,0),MATCH(AD26,StufeJahr3,0))),0,INDEX(EntgelteJahr3,MATCH(AD25,GruppeJahr3,0),MATCH(AD26,StufeJahr3,0)))</f>
        <v>0</v>
      </c>
      <c r="AE27" s="715"/>
      <c r="AF27" s="714">
        <f>IF(ISERROR(INDEX(EntgelteJahr3,MATCH(AF25,GruppeJahr3,0),MATCH(AF26,StufeJahr3,0))),0,INDEX(EntgelteJahr3,MATCH(AF25,GruppeJahr3,0),MATCH(AF26,StufeJahr3,0)))</f>
        <v>0</v>
      </c>
      <c r="AG27" s="715"/>
    </row>
    <row r="28" spans="2:46" ht="17.25" x14ac:dyDescent="0.35">
      <c r="B28" s="104" t="s">
        <v>172</v>
      </c>
      <c r="C28" s="105"/>
      <c r="D28" s="105"/>
      <c r="E28" s="105"/>
      <c r="F28" s="105"/>
      <c r="G28" s="105"/>
      <c r="H28" s="107"/>
      <c r="I28" s="106"/>
      <c r="J28" s="754">
        <f>IF(ISERROR(INDEX(JszJahr1,MATCH(J25,JszGrJahr1,0),MATCH(J26,JszStJahr1,0))),0,(INDEX(JszJahr1,MATCH(J25,JszGrJahr1,0),MATCH(J26,JszStJahr1,0))))</f>
        <v>0</v>
      </c>
      <c r="K28" s="713"/>
      <c r="L28" s="712">
        <f>IF(ISERROR(INDEX(JszJahr1,MATCH(L25,JszGrJahr1,0),MATCH(L26,JszStJahr1,0))),0,(INDEX(JszJahr1,MATCH(L25,JszGrJahr1,0),MATCH(L26,JszStJahr1,0))))</f>
        <v>0</v>
      </c>
      <c r="M28" s="713"/>
      <c r="N28" s="712">
        <f>IF(ISERROR(INDEX(JszJahr1,MATCH(N25,JszGrJahr1,0),MATCH(N26,JszStJahr1,0))),0,(INDEX(JszJahr1,MATCH(N25,JszGrJahr1,0),MATCH(N26,JszStJahr1,0))))</f>
        <v>0</v>
      </c>
      <c r="O28" s="713"/>
      <c r="P28" s="712">
        <f>IF(ISERROR(INDEX(JszJahr2,MATCH(P25,JszGrJahr2,0),MATCH(P26,JszStJahr2,0))),0,(INDEX(JszJahr2,MATCH(P25,JszGrJahr2,0),MATCH(P26,JszStJahr2,0))))</f>
        <v>0</v>
      </c>
      <c r="Q28" s="713"/>
      <c r="R28" s="612"/>
      <c r="S28" s="612"/>
      <c r="T28" s="612"/>
      <c r="U28" s="612"/>
      <c r="V28" s="754">
        <f>IF(ISERROR(INDEX(JszJahr2,MATCH(V25,JszGrJahr2,0),MATCH(V26,JszStJahr2,0))),0,(INDEX(JszJahr2,MATCH(V25,JszGrJahr2,0),MATCH(V26,JszStJahr2,0))))</f>
        <v>0</v>
      </c>
      <c r="W28" s="754"/>
      <c r="X28" s="754"/>
      <c r="Y28" s="713"/>
      <c r="Z28" s="754">
        <f>IF(ISERROR(INDEX(JszJahr2,MATCH(Z25,JszGrJahr2,0),MATCH(Z26,JszStJahr2,0))),0,(INDEX(JszJahr2,MATCH(Z25,JszGrJahr2,0),MATCH(Z26,JszStJahr2,0))))</f>
        <v>0</v>
      </c>
      <c r="AA28" s="713"/>
      <c r="AB28" s="712">
        <f>IF(ISERROR(INDEX(JszJahr3,MATCH(AB25,JszGrJahr3,0),MATCH(AB26,JszStJahr3,0))),0,(INDEX(JszJahr3,MATCH(AB25,JszGrJahr3,0),MATCH(AB26,JszStJahr3,0))))</f>
        <v>0</v>
      </c>
      <c r="AC28" s="713"/>
      <c r="AD28" s="712">
        <f>IF(ISERROR(INDEX(JszJahr3,MATCH(AD25,JszGrJahr3,0),MATCH(AD26,JszStJahr3,0))),0,(INDEX(JszJahr3,MATCH(AD25,JszGrJahr3,0),MATCH(AD26,JszStJahr3,0))))</f>
        <v>0</v>
      </c>
      <c r="AE28" s="713"/>
      <c r="AF28" s="712">
        <f>IF(ISERROR(INDEX(JszJahr3,MATCH(AF25,JszGrJahr3,0),MATCH(AF26,JszStJahr3,0))),0,(INDEX(JszJahr3,MATCH(AF25,JszGrJahr3,0),MATCH(AF26,JszStJahr3,0))))</f>
        <v>0</v>
      </c>
      <c r="AG28" s="713"/>
    </row>
    <row r="29" spans="2:46" ht="16.149999999999999" hidden="1" customHeight="1" outlineLevel="1" thickBot="1" x14ac:dyDescent="0.4">
      <c r="B29" s="104" t="s">
        <v>43</v>
      </c>
      <c r="C29" s="105"/>
      <c r="D29" s="105"/>
      <c r="E29" s="105"/>
      <c r="F29" s="105"/>
      <c r="G29" s="105"/>
      <c r="H29" s="107"/>
      <c r="I29" s="106"/>
      <c r="J29" s="743" t="e">
        <f>IF(SUM(D68:F68)&gt;0,"ja","nein")</f>
        <v>#VALUE!</v>
      </c>
      <c r="K29" s="757"/>
      <c r="L29" s="757"/>
      <c r="M29" s="757"/>
      <c r="N29" s="757"/>
      <c r="O29" s="757"/>
      <c r="P29" s="740" t="str">
        <f>IF(SUM(S68:U68)&gt;0,"ja","nein")</f>
        <v>nein</v>
      </c>
      <c r="Q29" s="741"/>
      <c r="R29" s="741"/>
      <c r="S29" s="741"/>
      <c r="T29" s="741"/>
      <c r="U29" s="741"/>
      <c r="V29" s="742"/>
      <c r="W29" s="742"/>
      <c r="X29" s="742"/>
      <c r="Y29" s="742"/>
      <c r="Z29" s="741"/>
      <c r="AA29" s="743"/>
      <c r="AB29" s="707" t="str">
        <f>IF(SUM(AI68:AK68)&gt;0,"ja","nein")</f>
        <v>nein</v>
      </c>
      <c r="AC29" s="708"/>
      <c r="AD29" s="708"/>
      <c r="AE29" s="708"/>
      <c r="AF29" s="708"/>
      <c r="AG29" s="709"/>
    </row>
    <row r="30" spans="2:46" ht="16.5" collapsed="1" thickBot="1" x14ac:dyDescent="0.4">
      <c r="B30" s="123" t="s">
        <v>111</v>
      </c>
      <c r="C30" s="124"/>
      <c r="D30" s="124"/>
      <c r="E30" s="124"/>
      <c r="F30" s="124"/>
      <c r="G30" s="124"/>
      <c r="H30" s="126"/>
      <c r="I30" s="125"/>
      <c r="J30" s="750">
        <f>StundenJahr1</f>
        <v>39</v>
      </c>
      <c r="K30" s="725"/>
      <c r="L30" s="724">
        <f>StundenJahr1</f>
        <v>39</v>
      </c>
      <c r="M30" s="725"/>
      <c r="N30" s="724">
        <f>StundenJahr1</f>
        <v>39</v>
      </c>
      <c r="O30" s="725"/>
      <c r="P30" s="737">
        <f>StundenJahr2</f>
        <v>39</v>
      </c>
      <c r="Q30" s="738"/>
      <c r="R30" s="127"/>
      <c r="S30" s="127"/>
      <c r="T30" s="127"/>
      <c r="U30" s="127"/>
      <c r="V30" s="758">
        <f>StundenJahr2</f>
        <v>39</v>
      </c>
      <c r="W30" s="758"/>
      <c r="X30" s="758"/>
      <c r="Y30" s="738"/>
      <c r="Z30" s="758">
        <f>StundenJahr2</f>
        <v>39</v>
      </c>
      <c r="AA30" s="738"/>
      <c r="AB30" s="724">
        <f>StundenJahr3</f>
        <v>39</v>
      </c>
      <c r="AC30" s="725"/>
      <c r="AD30" s="724">
        <f>StundenJahr3</f>
        <v>39</v>
      </c>
      <c r="AE30" s="725"/>
      <c r="AF30" s="724">
        <f>StundenJahr3</f>
        <v>39</v>
      </c>
      <c r="AG30" s="725"/>
    </row>
    <row r="31" spans="2:46" ht="16.5" thickBot="1" x14ac:dyDescent="0.4">
      <c r="B31" s="120" t="s">
        <v>89</v>
      </c>
      <c r="C31" s="94"/>
      <c r="D31" s="94"/>
      <c r="E31" s="94"/>
      <c r="F31" s="94"/>
      <c r="G31" s="94"/>
      <c r="H31" s="121"/>
      <c r="I31" s="95"/>
      <c r="J31" s="751">
        <f>IF(J22="","",IF(YEAR(M6)&lt;$J$20,"",$O$6))</f>
        <v>0</v>
      </c>
      <c r="K31" s="711"/>
      <c r="L31" s="710">
        <f>IF(L27&gt;0,$O$6,0)</f>
        <v>0</v>
      </c>
      <c r="M31" s="711"/>
      <c r="N31" s="726"/>
      <c r="O31" s="727"/>
      <c r="P31" s="710" t="str">
        <f>IF(YEAR($N$6)&lt;$P$20,"",$O$6)</f>
        <v/>
      </c>
      <c r="Q31" s="711"/>
      <c r="R31" s="331"/>
      <c r="S31" s="331"/>
      <c r="T31" s="331"/>
      <c r="U31" s="331"/>
      <c r="V31" s="710">
        <f>IF(V27&gt;0,$O$6,0)</f>
        <v>0</v>
      </c>
      <c r="W31" s="751"/>
      <c r="X31" s="751"/>
      <c r="Y31" s="711"/>
      <c r="Z31" s="726"/>
      <c r="AA31" s="727"/>
      <c r="AB31" s="710" t="str">
        <f>IF(YEAR($N$6)&lt;$AB$20,"",$O$6)</f>
        <v/>
      </c>
      <c r="AC31" s="711"/>
      <c r="AD31" s="710">
        <f>IF(AD27&gt;0,$O$6,0)</f>
        <v>0</v>
      </c>
      <c r="AE31" s="711"/>
      <c r="AF31" s="726"/>
      <c r="AG31" s="727"/>
    </row>
    <row r="32" spans="2:46" ht="18" thickBot="1" x14ac:dyDescent="0.4">
      <c r="B32" s="123" t="s">
        <v>173</v>
      </c>
      <c r="C32" s="124"/>
      <c r="D32" s="124"/>
      <c r="E32" s="124"/>
      <c r="F32" s="124"/>
      <c r="G32" s="124"/>
      <c r="H32" s="128"/>
      <c r="I32" s="125"/>
      <c r="J32" s="728" t="e">
        <f>IF($X$5=TRUE,ZuschlagJahr1,0)</f>
        <v>#N/A</v>
      </c>
      <c r="K32" s="703"/>
      <c r="L32" s="702" t="e">
        <f>IF($X$5=TRUE,ZuschlagJahr1,0)</f>
        <v>#N/A</v>
      </c>
      <c r="M32" s="703"/>
      <c r="N32" s="702" t="e">
        <f>IF($X$5=TRUE,ZuschlagJahr1,0)</f>
        <v>#N/A</v>
      </c>
      <c r="O32" s="703"/>
      <c r="P32" s="702" t="e">
        <f>IF($X$5=TRUE,ZuschlagJahr2,0)</f>
        <v>#N/A</v>
      </c>
      <c r="Q32" s="703"/>
      <c r="R32" s="129"/>
      <c r="S32" s="129"/>
      <c r="T32" s="129"/>
      <c r="U32" s="129"/>
      <c r="V32" s="702" t="e">
        <f>IF($X$5=TRUE,ZuschlagJahr2,0)</f>
        <v>#N/A</v>
      </c>
      <c r="W32" s="728"/>
      <c r="X32" s="728"/>
      <c r="Y32" s="703"/>
      <c r="Z32" s="702" t="e">
        <f>IF($X$5=TRUE,ZuschlagJahr2,0)</f>
        <v>#N/A</v>
      </c>
      <c r="AA32" s="703"/>
      <c r="AB32" s="702" t="e">
        <f>IF($X$5=TRUE,ZuschlagJahr3,0)</f>
        <v>#N/A</v>
      </c>
      <c r="AC32" s="703"/>
      <c r="AD32" s="702" t="e">
        <f>IF($X$5=TRUE,ZuschlagJahr3,0)</f>
        <v>#N/A</v>
      </c>
      <c r="AE32" s="703"/>
      <c r="AF32" s="702" t="e">
        <f>IF($X$5=TRUE,ZuschlagJahr3,0)</f>
        <v>#N/A</v>
      </c>
      <c r="AG32" s="703"/>
    </row>
    <row r="33" spans="2:45" ht="61.5" customHeight="1" thickBot="1" x14ac:dyDescent="0.4">
      <c r="L33" s="115"/>
      <c r="M33" s="115"/>
      <c r="N33" s="115"/>
      <c r="O33" s="115"/>
      <c r="P33" s="115"/>
      <c r="Q33" s="115"/>
      <c r="R33" s="115"/>
      <c r="S33" s="115"/>
      <c r="T33" s="115"/>
      <c r="U33" s="115"/>
      <c r="V33" s="115"/>
      <c r="W33" s="115"/>
      <c r="X33" s="115"/>
      <c r="Y33" s="115"/>
      <c r="AB33" s="115"/>
      <c r="AC33" s="115"/>
      <c r="AD33" s="115"/>
      <c r="AE33" s="115"/>
    </row>
    <row r="34" spans="2:45" ht="27" customHeight="1" thickBot="1" x14ac:dyDescent="0.4">
      <c r="J34" s="744">
        <f>AB20+1</f>
        <v>1903</v>
      </c>
      <c r="K34" s="745"/>
      <c r="L34" s="745"/>
      <c r="M34" s="745"/>
      <c r="N34" s="745"/>
      <c r="O34" s="746"/>
      <c r="P34" s="747">
        <f>J34+1</f>
        <v>1904</v>
      </c>
      <c r="Q34" s="748"/>
      <c r="R34" s="748"/>
      <c r="S34" s="748"/>
      <c r="T34" s="748"/>
      <c r="U34" s="748"/>
      <c r="V34" s="748"/>
      <c r="W34" s="748"/>
      <c r="X34" s="748"/>
      <c r="Y34" s="748"/>
      <c r="Z34" s="748"/>
      <c r="AA34" s="749"/>
      <c r="AB34" s="704">
        <f>P34+1</f>
        <v>1905</v>
      </c>
      <c r="AC34" s="705"/>
      <c r="AD34" s="705"/>
      <c r="AE34" s="705"/>
      <c r="AF34" s="705"/>
      <c r="AG34" s="706"/>
    </row>
    <row r="35" spans="2:45" ht="16.5" thickBot="1" x14ac:dyDescent="0.4">
      <c r="B35" s="93"/>
      <c r="C35" s="94"/>
      <c r="D35" s="94"/>
      <c r="E35" s="94"/>
      <c r="F35" s="94"/>
      <c r="G35" s="94"/>
      <c r="H35" s="96"/>
      <c r="I35" s="95"/>
      <c r="J35" s="130" t="s">
        <v>0</v>
      </c>
      <c r="K35" s="131" t="s">
        <v>1</v>
      </c>
      <c r="L35" s="130" t="s">
        <v>0</v>
      </c>
      <c r="M35" s="131" t="s">
        <v>1</v>
      </c>
      <c r="N35" s="130" t="s">
        <v>0</v>
      </c>
      <c r="O35" s="131" t="s">
        <v>1</v>
      </c>
      <c r="P35" s="132" t="s">
        <v>0</v>
      </c>
      <c r="Q35" s="133" t="s">
        <v>1</v>
      </c>
      <c r="R35" s="134"/>
      <c r="S35" s="134"/>
      <c r="T35" s="134"/>
      <c r="U35" s="134"/>
      <c r="V35" s="132" t="s">
        <v>0</v>
      </c>
      <c r="W35" s="799" t="s">
        <v>1</v>
      </c>
      <c r="X35" s="799"/>
      <c r="Y35" s="800"/>
      <c r="Z35" s="132" t="s">
        <v>0</v>
      </c>
      <c r="AA35" s="133" t="s">
        <v>1</v>
      </c>
      <c r="AB35" s="135" t="s">
        <v>0</v>
      </c>
      <c r="AC35" s="136" t="s">
        <v>1</v>
      </c>
      <c r="AD35" s="135" t="s">
        <v>0</v>
      </c>
      <c r="AE35" s="136" t="s">
        <v>1</v>
      </c>
      <c r="AF35" s="135" t="s">
        <v>0</v>
      </c>
      <c r="AG35" s="136" t="s">
        <v>1</v>
      </c>
    </row>
    <row r="36" spans="2:45" ht="16.5" thickBot="1" x14ac:dyDescent="0.4">
      <c r="B36" s="123" t="s">
        <v>110</v>
      </c>
      <c r="C36" s="124"/>
      <c r="D36" s="124"/>
      <c r="E36" s="124"/>
      <c r="F36" s="124"/>
      <c r="G36" s="124"/>
      <c r="H36" s="126"/>
      <c r="I36" s="125"/>
      <c r="J36" s="327" t="str">
        <f>IF(OR(ISBLANK($M$6),ISBLANK($N$6)),"",IF(J34&lt;YEAR($M$6),$M$6,IF(YEAR($N$6)&gt;=J34,DATE(J34,1,1),"")))</f>
        <v/>
      </c>
      <c r="K36" s="328" t="str">
        <f>IF(IF(OR(ISBLANK($M$6),ISBLANK($N$6)),"",IF(J34&lt;YEAR($M$6),$M$6,IF(YEAR($N$6)&gt;=J34,DATE(J34,1,1),"")))="","",IF(AND(MONTH(1)=MONTH($V$6),J34=YEAR($N$6)),$N$6,IF(AND($V$6&lt;$N$6,$N$6&gt;$T$12,),$N$6,IF(MONTH(1)=MONTH($V$6),DATE(J34,12,31),IF(OR(ISBLANK($M$6),ISBLANK($N$6)),"",IF(AND(J34=YEAR($N$6),$V$6&gt;$N$6),$N$6,IF(J34=YEAR($V$6),$V$6-1,IF(J34=YEAR($T$12),$T$12-1,IF(J34=YEAR($T$13),$T$13-1,IF(J34=YEAR($T$14),$T$14-1,IF(J34=YEAR($T$15),$T$15-1,IF(J34=YEAR($T$16),$T$16-1,IF(YEAR($N$6)=J34,$N$6,DATE(J34,12,31))))))))))))))</f>
        <v/>
      </c>
      <c r="L36" s="327" t="str">
        <f>IF(YEAR(N6)&lt;J34,"",IF(OR(ISBLANK(M6),ISBLANK(N6)),"",IF(AND(J34=YEAR($N$6),$V$6&gt;$N$6),"",IF(MONTH(1)=MONTH($V$6),"",IF(J34=YEAR($V$6),$V$6,IF(J34=YEAR($T$12),$T$12,IF(J34=YEAR($T$13),$T$13,IF(J34=YEAR($T$14),$T$14,IF(J34=YEAR($T$15),$T$15,IF(J34=YEAR($T$16),$T$16,IF($N$6&lt;$T$12,"","")))))))))))</f>
        <v/>
      </c>
      <c r="M36" s="329" t="str">
        <f>IF(L36="","",IF(YEAR(N6)&lt;J34,"",IF(OR(ISBLANK($M$6),ISBLANK($N$6)),"",IF(MONTH(1)=MONTH($V$6),"",IF(IF(AND(J34=YEAR($N$6),$V$6&gt;$N$6),"",IF(J34=YEAR($V$6),$V$6,IF(J34=YEAR($T$12),$T$12,IF(J34=YEAR($T$13),$T$13,IF(J34=YEAR($T$14),$T$14,IF(J34=YEAR($T$15),$T$15,IF(J34=YEAR($T$16),$T$16,"")))))))="","",IF(YEAR($N$6)=J34,$N$6,DATE(J34,12,31)))))))</f>
        <v/>
      </c>
      <c r="N36" s="110"/>
      <c r="O36" s="110"/>
      <c r="P36" s="327" t="str">
        <f>IF(OR(ISBLANK($M$6),ISBLANK($N$6)),"",IF(P34&lt;YEAR($M$6),$M$6,IF(YEAR($N$6)&gt;=P34,DATE(P34,1,1),"")))</f>
        <v/>
      </c>
      <c r="Q36" s="328" t="str">
        <f>IF(IF(OR(ISBLANK($M$6),ISBLANK($N$6)),"",IF(P34&lt;YEAR($M$6),$M$6,IF(YEAR($N$6)&gt;=P34,DATE(P34,1,1),"")))="","",IF(AND(MONTH(1)=MONTH($V$6),P34=YEAR($N$6)),$N$6,IF(AND($V$6&lt;$N$6,$N$6&gt;$T$12,),$N$6,IF(MONTH(1)=MONTH($V$6),DATE(P34,12,31),IF(OR(ISBLANK($M$6),ISBLANK($N$6)),"",IF(AND(P34=YEAR($N$6),$V$6&gt;$N$6),$N$6,IF(P34=YEAR($V$6),$V$6-1,IF(P34=YEAR($T$12),$T$12-1,IF(P34=YEAR($T$13),$T$13-1,IF(P34=YEAR($T$14),$T$14-1,IF(P34=YEAR($T$15),$T$15-1,IF(P34=YEAR($T$16),$T$16-1,IF(YEAR($N$6)=P34,$N$6,DATE(P34,12,31))))))))))))))</f>
        <v/>
      </c>
      <c r="R36" s="108"/>
      <c r="S36" s="109"/>
      <c r="T36" s="108"/>
      <c r="U36" s="110"/>
      <c r="V36" s="327" t="str">
        <f>IF(IF(OR(ISBLANK($M$6),ISBLANK($N$6)),"",IF(P34&lt;YEAR($M$6),$M$6,IF(YEAR($N$6)&gt;=P34,DATE(P34,1,1),"")))="","",IF(MONTH(1)=MONTH($V$6),"",IF(AND(P34=YEAR($N$6),$V$6&gt;$N$6),"",IF(P34=YEAR($V$6),$V$6,IF(P34=YEAR($T$12),$T$12,IF(P34=YEAR($T$13),$T$13,IF(P34=YEAR($T$14),$T$14,IF(P34=YEAR($T$15),$T$15,IF(P34=YEAR($T$16),$T$16,IF($N$6&lt;$T$12,"",""))))))))))</f>
        <v/>
      </c>
      <c r="W36" s="794" t="str">
        <f>IF(V36="","",IF(IF(OR(ISBLANK($M$6),ISBLANK($N$6)),"",IF(P34&lt;YEAR($M$6),$M$6,IF(YEAR($N$6)&gt;=P34,DATE(P34,1,1),"")))="","",IF(MONTH(1)=MONTH($V$6),"",IF(IF(AND(P34=YEAR($N$6),$V$6&gt;$N$6),"",IF(P34=YEAR($V$6),$V$6,IF(P34=YEAR($T$12),$T$12,IF(P34=YEAR($T$13),$T$13,IF(P34=YEAR($T$14),$T$14,IF(P34=YEAR($T$15),$T$15,IF(P34=YEAR($T$16),$T$16,"")))))))="","",IF(YEAR($N$6)=P34,$N$6,DATE(P34,12,31))))))</f>
        <v/>
      </c>
      <c r="X36" s="794"/>
      <c r="Y36" s="795"/>
      <c r="Z36" s="108"/>
      <c r="AA36" s="109"/>
      <c r="AB36" s="327" t="str">
        <f>IF(AB34&lt;YEAR($M$6),$M$6,IF(YEAR($N$6)&gt;=AB34,DATE(AB34,1,1),""))</f>
        <v/>
      </c>
      <c r="AC36" s="328" t="str">
        <f>IF(IF(OR(ISBLANK($M$6),ISBLANK($N$6)),"",IF(AB34&lt;YEAR($M$6),$M$6,IF(YEAR($N$6)&gt;=AB34,DATE(AB34,1,1),"")))="","",IF(AND(MONTH(1)=MONTH($V$6),AB34=YEAR($N$6)),$N$6,IF(AND($V$6&lt;$N$6,$N$6&gt;$T$12,),$N$6,IF(MONTH(1)=MONTH($V$6),DATE(AB34,12,31),IF(OR(ISBLANK($M$6),ISBLANK($N$6)),"",IF(AND(AB34=YEAR($N$6),$V$6&gt;$N$6),$N$6,IF(AB34=YEAR($V$6),$V$6-1,IF(AB34=YEAR($T$12),$T$12-1,IF(AB34=YEAR($T$13),$T$13-1,IF(AB34=YEAR($T$14),$T$14-1,IF(AB34=YEAR($T$15),$T$15-1,IF(AB34=YEAR($T$16),$T$16-1,IF(YEAR($N$6)=AB34,$N$6,DATE(AB34,12,31))))))))))))))</f>
        <v/>
      </c>
      <c r="AD36" s="327" t="str">
        <f>IF(IF(AB34&lt;YEAR($M$6),$M$6,IF(YEAR($N$6)&gt;=AB34,DATE(AB34,1,1),""))="","",IF(MONTH(1)=MONTH($V$6),"",IF(AND(AB34=YEAR($N$6),$V$6&gt;$N$6),"",IF(AB34=YEAR($V$6),$V$6,IF(AB34=YEAR($T$12),$T$12,IF(AB34=YEAR($T$13),$T$13,IF(AB34=YEAR($T$14),$T$14,IF(AB34=YEAR($T$15),$T$15,IF(AB34=YEAR($T$16),$T$16,IF($N$6&lt;$T$12,"",""))))))))))</f>
        <v/>
      </c>
      <c r="AE36" s="329" t="str">
        <f>IF(AD36="","",IF(IF(AB34&lt;YEAR($M$6),$M$6,IF(YEAR($N$6)&gt;=AB34,DATE(AB34,1,1),""))="","",IF(MONTH(1)=MONTH($V$6),"",IF(IF(AND(AB34=YEAR($N$6),$V$6&gt;$N$6),"",IF(AB34=YEAR($V$6),$V$6,IF(AB34=YEAR($T$12),$T$12,IF(AB34=YEAR($T$13),$T$13,IF(AB34=YEAR($T$14),$T$14,IF(AB34=YEAR($T$15),$T$15,IF(AB34=YEAR($T$16),$T$16,"")))))))="","",IF(YEAR($N$6)=AB34,$N$6,DATE(AB34,12,31))))))</f>
        <v/>
      </c>
      <c r="AF36" s="110"/>
      <c r="AG36" s="109"/>
    </row>
    <row r="37" spans="2:45" ht="16.149999999999999" hidden="1" customHeight="1" outlineLevel="1" thickBot="1" x14ac:dyDescent="0.4">
      <c r="B37" s="442"/>
      <c r="C37" s="105"/>
      <c r="D37" s="105"/>
      <c r="E37" s="105"/>
      <c r="F37" s="105"/>
      <c r="G37" s="105"/>
      <c r="H37" s="82"/>
      <c r="I37" s="105"/>
      <c r="J37" s="111">
        <f>IF(J36="",0,(EOMONTH(J36,0)-J36+1)/(EOMONTH(J36,0)-EOMONTH(J36,-1))+(K36-EOMONTH(K36,-1))/(EOMONTH(K36,0)-EOMONTH(K36,-1))+MONTH(K36)-MONTH(J36)-1+(YEAR(K36)-YEAR(J36))*12)</f>
        <v>0</v>
      </c>
      <c r="K37" s="112" t="e">
        <f>IF(AND(DAY(J36)&gt;1,MONTH(J36)&lt;&gt;MONTH(K36)),30-DAY(J36)+1,IF(J36="",0,(IF(MONTH(J36)=MONTH(K36),IF(OR(K36=C77,K36=C78,K36=C79,K36=C80,K36=C81,K36=C82,K36=C83,K36=C84,K36=C85,K36=C86,K36=C87,K36=C88),30-DAY(J36)+1,IF(MONTH(J36)=MONTH(K36),DAY(K36)-DAY(J36)+1,0))))))</f>
        <v>#VALUE!</v>
      </c>
      <c r="L37" s="111">
        <f>IF(L36="",0,(EOMONTH(L36,0)-L36+1)/(EOMONTH(L36,0)-EOMONTH(L36,-1))+(M36-EOMONTH(M36,-1))/(EOMONTH(M36,0)-EOMONTH(M36,-1))+MONTH(M36)-MONTH(L36)-1+(YEAR(M36)-YEAR(L36))*12)</f>
        <v>0</v>
      </c>
      <c r="M37" s="112">
        <f>IF(L36="",0,IF(AND(DAY(L36)=1,MONTH(L36)&lt;&gt;MONTH(M36)),30,IF(AND(DAY(L36)&gt;1,MONTH(L36)&lt;&gt;MONTH(M36)),30-DAY(L36)+1,IF(MONTH(L36)=MONTH(M36),IF(OR(M36=C77,M36=C78,M36=C79,M36=C80,M36=C81,M36=C82,M36=C83,M36=C84,M36=C85,M36=C86,M36=C87,M36=C88),30-DAY(L36)+1,IF(MONTH(L36)=MONTH(M36),DAY(M36)-DAY(L36)+1,0))))))</f>
        <v>0</v>
      </c>
      <c r="N37" s="111">
        <f>IF(N36="",0,(EOMONTH(N36,0)-N36+1)/(EOMONTH(N36,0)-EOMONTH(N36,-1))+(O36-EOMONTH(O36,-1))/(EOMONTH(O36,0)-EOMONTH(O36,-1))+MONTH(O36)-MONTH(N36)-1+(YEAR(O36)-YEAR(N36))*12)</f>
        <v>0</v>
      </c>
      <c r="O37" s="112">
        <f>IF(N36="",0,IF(AND(DAY(N36)=1,MONTH(N36)&lt;&gt;MONTH(O36)),30,IF(AND(DAY(N36)&gt;1,MONTH(N36)&lt;&gt;MONTH(O36)),30-DAY(N36)+1,IF(MONTH(N36)=MONTH(O36),IF(OR(O36=C77,O36=C78,O36=C79,O36=C80,O36=C81,O36=C82,O36=C83,O36=C84,O36=C85,O36=C86,O36=C87,O36=C88),30-DAY(N36)+1,IF(MONTH(N36)=MONTH(O36),DAY(O36)-DAY(N36)+1,0))))))</f>
        <v>0</v>
      </c>
      <c r="P37" s="111">
        <f>IF(P36="",0,(EOMONTH(P36,0)-P36+1)/(EOMONTH(P36,0)-EOMONTH(P36,-1))+(Q36-EOMONTH(Q36,-1))/(EOMONTH(Q36,0)-EOMONTH(Q36,-1))+MONTH(Q36)-MONTH(P36)-1+(YEAR(Q36)-YEAR(P36))*12)</f>
        <v>0</v>
      </c>
      <c r="Q37" s="113" t="e">
        <f>IF(AND(DAY(P36)&gt;1,MONTH(P36)&lt;&gt;MONTH(Q36)),30-DAY(P36)+1,IF(P36="",0,(IF(MONTH(P36)=MONTH(Q36),IF(OR(Q36=R77,Q36=R78,Q36=R79,Q36=R80,Q36=R81,Q36=R82,Q36=R83,Q36=R84,Q36=R85,Q36=R86,Q36=R87,Q36=R88),30-DAY(P36)+1,IF(MONTH(P36)=MONTH(Q36),DAY(Q36)-DAY(P36)+1,0))))))</f>
        <v>#VALUE!</v>
      </c>
      <c r="R37" s="114"/>
      <c r="S37" s="114"/>
      <c r="T37" s="114"/>
      <c r="U37" s="114"/>
      <c r="V37" s="111">
        <f>IF(V36="",0,(EOMONTH(V36,0)-V36+1)/(EOMONTH(V36,0)-EOMONTH(V36,-1))+(W36-EOMONTH(W36,-1))/(EOMONTH(W36,0)-EOMONTH(W36,-1))+MONTH(W36)-MONTH(V36)-1+(YEAR(W36)-YEAR(V36))*12)</f>
        <v>0</v>
      </c>
      <c r="W37" s="112">
        <f>IF(V36="",0,IF(AND(DAY(V36)=1,MONTH(V36)&lt;&gt;MONTH(W36)),30,IF(AND(DAY(V36)&gt;1,MONTH(V36)&lt;&gt;MONTH(W36)),30-DAY(V36)+1,IF(MONTH(V36)=MONTH(W36),IF(OR(W36=R77,W36=R78,W36=R79,W36=R80,W36=R81,W36=R82,W36=R83,W36=R84,W36=R85,W36=R86,W36=R87,W36=R88),30-DAY(V36)+1,IF(MONTH(V36)=MONTH(W36),DAY(W36)-DAY(V36)+1,0))))))</f>
        <v>0</v>
      </c>
      <c r="X37" s="115"/>
      <c r="Y37" s="115"/>
      <c r="Z37" s="111">
        <f>IF(Z36="",0,(EOMONTH(Z36,0)-Z36+1)/(EOMONTH(Z36,0)-EOMONTH(Z36,-1))+(AA36-EOMONTH(AA36,-1))/(EOMONTH(AA36,0)-EOMONTH(AA36,-1))+MONTH(AA36)-MONTH(Z36)-1+(YEAR(AA36)-YEAR(Z36))*12)</f>
        <v>0</v>
      </c>
      <c r="AA37" s="112">
        <f>IF(Z36="",0,IF(AND(DAY(Z36)=1,MONTH(Z36)&lt;&gt;MONTH(AA36)),30,IF(AND(DAY(Z36)&gt;1,MONTH(Z36)&lt;&gt;MONTH(AA36)),30-DAY(Z36)+1,IF(MONTH(Z36)=MONTH(AA36),IF(OR(AA36=R77,AA36=R78,AA36=R79,AA36=R80,AA36=R81,AA36=R82,AA36=R83,AA36=R84,AA36=R85,AA36=R86,AA36=R87,AA36=R88),30-DAY(Z36)+1,IF(MONTH(Z36)=MONTH(AA36),DAY(AA36)-DAY(Z36)+1,0))))))</f>
        <v>0</v>
      </c>
      <c r="AB37" s="111">
        <f>IF(AB36="",0,(EOMONTH(AB36,0)-AB36+1)/(EOMONTH(AB36,0)-EOMONTH(AB36,-1))+(AC36-EOMONTH(AC36,-1))/(EOMONTH(AC36,0)-EOMONTH(AC36,-1))+MONTH(AC36)-MONTH(AB36)-1+(YEAR(AC36)-YEAR(AB36))*12)</f>
        <v>0</v>
      </c>
      <c r="AC37" s="112" t="e">
        <f>IF(AND(DAY(AB36)&gt;1,MONTH(AB36)&lt;&gt;MONTH(AC36)),30-DAY(AB36)+1,IF(AB36="",0,(IF(MONTH(AB36)=MONTH(AC36),IF(OR(AC36=AH77,AC36=AH78,AC36=AH79,AC36=AH80,AC36=AH81,AC36=AH82,AC36=AH83,AC36=AH84,AC36=AH85,AC36=AH86,AC36=AH87,AC36=AH88),30-DAY(AB36)+1,IF(MONTH(AB36)=MONTH(AC36),DAY(AC36)-DAY(AB36)+1,0))))))</f>
        <v>#VALUE!</v>
      </c>
      <c r="AD37" s="111">
        <f>IF(AD36="",0,(EOMONTH(AD36,0)-AD36+1)/(EOMONTH(AD36,0)-EOMONTH(AD36,-1))+(AE36-EOMONTH(AE36,-1))/(EOMONTH(AE36,0)-EOMONTH(AE36,-1))+MONTH(AE36)-MONTH(AD36)-1+(YEAR(AE36)-YEAR(AD36))*12)</f>
        <v>0</v>
      </c>
      <c r="AE37" s="112">
        <f>IF(AD36="",0,IF(AND(DAY(AD36)=1,MONTH(AD36)&lt;&gt;MONTH(AE36)),30,IF(AND(DAY(AD36)&gt;1,MONTH(AD36)&lt;&gt;MONTH(AE36)),30-DAY(AD36)+1,IF(MONTH(AD36)=MONTH(AE36),IF(OR(AE36=AH77,AE36=AH78,AE36=AH79,AE36=AH80,AE36=AH81,AE36=AH82,AE36=AH83,AE36=AH84,AE36=AH85,AE36=AH86,AE36=AH87,AE36=AH88),30-DAY(AD36)+1,IF(MONTH(AD36)=MONTH(AE36),DAY(AE36)-DAY(AD36)+1,0))))))</f>
        <v>0</v>
      </c>
      <c r="AF37" s="111">
        <f>IF(AF36="",0,(EOMONTH(AF36,0)-AF36+1)/(EOMONTH(AF36,0)-EOMONTH(AF36,-1))+(AG36-EOMONTH(AG36,-1))/(EOMONTH(AG36,0)-EOMONTH(AG36,-1))+MONTH(AG36)-MONTH(AF36)-1+(YEAR(AG36)-YEAR(AF36))*12)</f>
        <v>0</v>
      </c>
      <c r="AG37" s="112">
        <f>IF(AF36="",0,IF(AND(DAY(AF36)=1,MONTH(AF36)&lt;&gt;MONTH(AG36)),30,IF(AND(DAY(AF36)&gt;1,MONTH(AF36)&lt;&gt;MONTH(AG36)),30-DAY(AF36)+1,IF(MONTH(AF36)=MONTH(AG36),IF(OR(AG36=AH77,AG36=AH78,AG36=AH79,AG36=AH80,AG36=AH81,AG36=AH82,AG36=AH83,AG36=AH84,AG36=AH85,AG36=AH86,AG36=AH87,AG36=AH88),30-DAY(AF36)+1,IF(MONTH(AF36)=MONTH(AG36),DAY(AG36)-DAY(AF36)+1,0))))))</f>
        <v>0</v>
      </c>
    </row>
    <row r="38" spans="2:45" ht="16.5" collapsed="1" thickBot="1" x14ac:dyDescent="0.4">
      <c r="B38" s="116" t="s">
        <v>2</v>
      </c>
      <c r="C38" s="117"/>
      <c r="D38" s="117"/>
      <c r="E38" s="117"/>
      <c r="F38" s="117"/>
      <c r="G38" s="117"/>
      <c r="H38" s="117"/>
      <c r="I38" s="118"/>
      <c r="J38" s="671">
        <f>IF(J36="",0,(J41*J45)*(J46+100%))</f>
        <v>0</v>
      </c>
      <c r="K38" s="670"/>
      <c r="L38" s="671">
        <f>IF(L36="",0,(L41*L45)*(L46+100%))</f>
        <v>0</v>
      </c>
      <c r="M38" s="670"/>
      <c r="N38" s="671">
        <f>IF(N36="",0,(N41*N45)*(N46+100%))</f>
        <v>0</v>
      </c>
      <c r="O38" s="670"/>
      <c r="P38" s="671">
        <f>IF(P36="",0,(P41*P45)*(P46+100%))</f>
        <v>0</v>
      </c>
      <c r="Q38" s="670"/>
      <c r="R38" s="613"/>
      <c r="S38" s="613"/>
      <c r="T38" s="613"/>
      <c r="U38" s="613"/>
      <c r="V38" s="671">
        <f>IF(V36="",0,(V41*V45)*(V46+100%))</f>
        <v>0</v>
      </c>
      <c r="W38" s="669"/>
      <c r="X38" s="669"/>
      <c r="Y38" s="670"/>
      <c r="Z38" s="671">
        <f>IF(Z36="",0,(Z41*Z45)*(Z46+100%))</f>
        <v>0</v>
      </c>
      <c r="AA38" s="670"/>
      <c r="AB38" s="671">
        <f>IF(AB36="",0,(AB41*AB45)*(AB46+100%))</f>
        <v>0</v>
      </c>
      <c r="AC38" s="670"/>
      <c r="AD38" s="671">
        <f>IF(AD36="",0,(AD41*AD45)*(AD46+100%))</f>
        <v>0</v>
      </c>
      <c r="AE38" s="670"/>
      <c r="AF38" s="671">
        <f>IF(AF36="",0,(AF41*AF45)*(AF46+100%))</f>
        <v>0</v>
      </c>
      <c r="AG38" s="670"/>
    </row>
    <row r="39" spans="2:45" x14ac:dyDescent="0.35">
      <c r="B39" s="120" t="s">
        <v>114</v>
      </c>
      <c r="C39" s="94"/>
      <c r="D39" s="94"/>
      <c r="E39" s="94"/>
      <c r="F39" s="94"/>
      <c r="G39" s="94"/>
      <c r="H39" s="121"/>
      <c r="I39" s="95"/>
      <c r="J39" s="716" t="str">
        <f>IF(YEAR(N6)&lt;J34,"",$P$6)</f>
        <v/>
      </c>
      <c r="K39" s="717"/>
      <c r="L39" s="716" t="e">
        <f>IF(OR(L36=$V$6,L36=$T$12,L36=$T$13,L36=$T$14,L36=$T$15,L36=$T$16),J39,"")</f>
        <v>#VALUE!</v>
      </c>
      <c r="M39" s="717"/>
      <c r="N39" s="675"/>
      <c r="O39" s="676"/>
      <c r="P39" s="716" t="str">
        <f>IF(IF(OR(ISBLANK($M$6),ISBLANK($N$6)),"",IF(P34&lt;YEAR($M$6),$M$6,IF(YEAR($N$6)&gt;=P34,DATE(P34,1,1),"")))="","",$P$6)</f>
        <v/>
      </c>
      <c r="Q39" s="717"/>
      <c r="R39" s="611"/>
      <c r="S39" s="611"/>
      <c r="T39" s="611"/>
      <c r="U39" s="611"/>
      <c r="V39" s="674" t="e">
        <f>IF(OR(V36=$V$6,V36=$T$12,V36=$T$13,V36=$T$14,V36=$T$15,V36=$T$16),P39,"")</f>
        <v>#VALUE!</v>
      </c>
      <c r="W39" s="672"/>
      <c r="X39" s="672"/>
      <c r="Y39" s="673"/>
      <c r="Z39" s="731"/>
      <c r="AA39" s="732"/>
      <c r="AB39" s="674" t="str">
        <f>IF(IF(OR(ISBLANK($M$6),ISBLANK($N$6)),"",IF(AB34&lt;YEAR($M$6),$M$6,IF(YEAR($N$6)&gt;=AB34,DATE(AB34,1,1),"")))="","",$P$6)</f>
        <v/>
      </c>
      <c r="AC39" s="673"/>
      <c r="AD39" s="716" t="e">
        <f>IF(OR(AD36=$V$6,AD36=$T$12,AD36=$T$13,AD36=$T$14,AD36=$T$15,AD36=$T$16),AB39,"")</f>
        <v>#VALUE!</v>
      </c>
      <c r="AE39" s="717"/>
      <c r="AF39" s="731"/>
      <c r="AG39" s="732"/>
    </row>
    <row r="40" spans="2:45" ht="18" thickBot="1" x14ac:dyDescent="0.4">
      <c r="B40" s="123" t="s">
        <v>171</v>
      </c>
      <c r="C40" s="124"/>
      <c r="D40" s="124"/>
      <c r="E40" s="124"/>
      <c r="F40" s="124"/>
      <c r="G40" s="124"/>
      <c r="H40" s="126"/>
      <c r="I40" s="125"/>
      <c r="J40" s="716" t="str">
        <f>IF(J36="","",IF(J36=$V$6,$S$12,IF(J36=$T$12,$S$13,IF(J36=$T$13,$S$14,IF(J36=$T$14,$S$15,IF(J36=$T$15,$S$16,IF(AD26="",AB26,AD26)))))))</f>
        <v/>
      </c>
      <c r="K40" s="717"/>
      <c r="L40" s="716" t="str">
        <f>IF(L36="","",IF(ISBLANK(Q6),"",IF(L36=$V$6,$S$12,IF(L36=$T$12,$S$13,IF(L36=$T$13,$S$14,IF(L36=$T$14,$S$15,IF(L36=$T$15,$S$16,"")))))))</f>
        <v/>
      </c>
      <c r="M40" s="717"/>
      <c r="N40" s="675"/>
      <c r="O40" s="676"/>
      <c r="P40" s="755" t="str">
        <f>IF(P36="","",IF(P36=$V$6,$S$12,IF(P36=$T$12,$S$13,IF(P36=$T$13,$S$14,IF(P36=$T$14,$S$15,IF(P36=$T$15,$S$16,IF(L40="",J40,L40)))))))</f>
        <v/>
      </c>
      <c r="Q40" s="756"/>
      <c r="R40" s="611"/>
      <c r="S40" s="611"/>
      <c r="T40" s="611"/>
      <c r="U40" s="611"/>
      <c r="V40" s="785" t="e">
        <f>IF(ISBLANK(Q6),"",IF(V36=$V$6,$S$12,IF(V36=$T$12,$S$13,IF(V36=$T$13,$S$14,IF(V36=$T$14,$S$15,IF(V36=$T$15,$S$16,""))))))</f>
        <v>#VALUE!</v>
      </c>
      <c r="W40" s="796"/>
      <c r="X40" s="796"/>
      <c r="Y40" s="786"/>
      <c r="Z40" s="722"/>
      <c r="AA40" s="723"/>
      <c r="AB40" s="716" t="str">
        <f>IF(AB36="","",IF(AB36=$V$6,$S$12,IF(AB36=$T$12,$S$13,IF(AB36=$T$13,$S$14,IF(AB36=$T$14,$S$15,IF(AB36=$T$15,$S$16,IF(V40="",P40,V40)))))))</f>
        <v/>
      </c>
      <c r="AC40" s="717"/>
      <c r="AD40" s="729" t="str">
        <f>IF(AD36="","",IF(ISBLANK(V24),"",IF(AD36=$V$6,$S$12,IF(AD36=$T$12,$S$13,IF(AD36=$T$13,$S$14,IF(AD36=$T$14,$S$15,IF(AD36=$T$15,$S$16,"")))))))</f>
        <v/>
      </c>
      <c r="AE40" s="730"/>
      <c r="AF40" s="722"/>
      <c r="AG40" s="723"/>
    </row>
    <row r="41" spans="2:45" x14ac:dyDescent="0.35">
      <c r="B41" s="120" t="s">
        <v>4</v>
      </c>
      <c r="C41" s="94"/>
      <c r="D41" s="94"/>
      <c r="E41" s="94"/>
      <c r="F41" s="94"/>
      <c r="G41" s="94"/>
      <c r="H41" s="121"/>
      <c r="I41" s="95"/>
      <c r="J41" s="714">
        <f>IF(ISERROR(INDEX(EntgelteJahr4,MATCH(J39,GruppeJahr4,0),MATCH(J40,StufeJahr4,0))),0,INDEX(EntgelteJahr4,MATCH(J39,GruppeJahr4,0),MATCH(J40,StufeJahr4,0)))</f>
        <v>0</v>
      </c>
      <c r="K41" s="715"/>
      <c r="L41" s="714">
        <f>IF(ISERROR(INDEX(EntgelteJahr4,MATCH(L39,GruppeJahr4,0),MATCH(L40,StufeJahr4,0))),0,INDEX(EntgelteJahr4,MATCH(L39,GruppeJahr4,0),MATCH(L40,StufeJahr4,0)))</f>
        <v>0</v>
      </c>
      <c r="M41" s="715"/>
      <c r="N41" s="714">
        <f>IF(ISERROR(INDEX(EntgelteJahr4,MATCH(N39,GruppeJahr4,0),MATCH(N40,StufeJahr4,0))),0,INDEX(EntgelteJahr4,MATCH(N39,GruppeJahr4,0),MATCH(N40,StufeJahr4,0)))</f>
        <v>0</v>
      </c>
      <c r="O41" s="715"/>
      <c r="P41" s="714">
        <f>IF(ISERROR(INDEX(EntgelteJahr5,MATCH(P39,GruppeJahr5,0),MATCH(P40,StufeJahr5,0))),0,INDEX(EntgelteJahr5,MATCH(P39,GruppeJahr5,0),MATCH(P40,StufeJahr5,0)))</f>
        <v>0</v>
      </c>
      <c r="Q41" s="715"/>
      <c r="R41" s="122"/>
      <c r="S41" s="122"/>
      <c r="T41" s="122"/>
      <c r="U41" s="122"/>
      <c r="V41" s="714">
        <f>IF(ISERROR(INDEX(EntgelteJahr5,MATCH(V39,GruppeJahr5,0),MATCH(V40,StufeJahr5,0))),0,INDEX(EntgelteJahr5,MATCH(V39,GruppeJahr5,0),MATCH(V40,StufeJahr5,0)))</f>
        <v>0</v>
      </c>
      <c r="W41" s="739"/>
      <c r="X41" s="739"/>
      <c r="Y41" s="715"/>
      <c r="Z41" s="714">
        <f>IF(ISERROR(INDEX(EntgelteJahr5,MATCH(Z39,GruppeJahr5,0),MATCH(Z40,StufeJahr5,0))),0,INDEX(EntgelteJahr5,MATCH(Z39,GruppeJahr5,0),MATCH(Z40,StufeJahr5,0)))</f>
        <v>0</v>
      </c>
      <c r="AA41" s="715"/>
      <c r="AB41" s="714">
        <f>IF(ISERROR(INDEX(EntgelteJahr6,MATCH(AB39,GruppeJahr6,0),MATCH(AB40,StufeJahr6,0))),0,INDEX(EntgelteJahr6,MATCH(AB39,GruppeJahr6,0),MATCH(AB40,StufeJahr6,0)))</f>
        <v>0</v>
      </c>
      <c r="AC41" s="715"/>
      <c r="AD41" s="714">
        <f>IF(ISERROR(INDEX(EntgelteJahr6,MATCH(AD39,GruppeJahr6,0),MATCH(AD40,StufeJahr6,0))),0,INDEX(EntgelteJahr6,MATCH(AD39,GruppeJahr6,0),MATCH(AD40,StufeJahr6,0)))</f>
        <v>0</v>
      </c>
      <c r="AE41" s="715"/>
      <c r="AF41" s="714">
        <f>IF(ISERROR(INDEX(EntgelteJahr6,MATCH(AF39,GruppeJahr6,0),MATCH(AF40,StufeJahr6,0))),0,INDEX(EntgelteJahr6,MATCH(AF39,GruppeJahr6,0),MATCH(AF40,StufeJahr6,0)))</f>
        <v>0</v>
      </c>
      <c r="AG41" s="715"/>
    </row>
    <row r="42" spans="2:45" ht="17.25" x14ac:dyDescent="0.35">
      <c r="B42" s="104" t="s">
        <v>172</v>
      </c>
      <c r="C42" s="105"/>
      <c r="D42" s="105"/>
      <c r="E42" s="105"/>
      <c r="F42" s="105"/>
      <c r="G42" s="105"/>
      <c r="H42" s="107"/>
      <c r="I42" s="106"/>
      <c r="J42" s="712">
        <f>IF(ISERROR(INDEX(JszJahr4,MATCH(J39,JszGrJahr4,0),MATCH(J40,JszStJahr4,0))),0,(INDEX(JszJahr4,MATCH(J39,JszGrJahr4,0),MATCH(J40,JszStJahr4,0))))</f>
        <v>0</v>
      </c>
      <c r="K42" s="713"/>
      <c r="L42" s="712">
        <f>IF(ISERROR(INDEX(JszJahr4,MATCH(L39,JszGrJahr4,0),MATCH(L40,JszStJahr4,0))),0,(INDEX(JszJahr4,MATCH(L39,JszGrJahr4,0),MATCH(L40,JszStJahr4,0))))</f>
        <v>0</v>
      </c>
      <c r="M42" s="713"/>
      <c r="N42" s="712">
        <f>IF(ISERROR(INDEX(JszJahr4,MATCH(N39,JszGrJahr4,0),MATCH(N40,JszStJahr4,0))),0,(INDEX(JszJahr4,MATCH(N39,JszGrJahr4,0),MATCH(N40,JszStJahr4,0))))</f>
        <v>0</v>
      </c>
      <c r="O42" s="713"/>
      <c r="P42" s="712">
        <f>IF(ISERROR(INDEX(JszJahr5,MATCH(P39,JszGrJahr5,0),MATCH(P40,JszStJahr5,0))),0,(INDEX(JszJahr5,MATCH(P39,JszGrJahr5,0),MATCH(P40,JszStJahr5,0))))</f>
        <v>0</v>
      </c>
      <c r="Q42" s="713"/>
      <c r="R42" s="612"/>
      <c r="S42" s="612"/>
      <c r="T42" s="612"/>
      <c r="U42" s="612"/>
      <c r="V42" s="754">
        <f>IF(ISERROR(INDEX(JszJahr5,MATCH(V39,JszGrJahr5,0),MATCH(V40,JszStJahr5,0))),0,(INDEX(JszJahr5,MATCH(V39,JszGrJahr5,0),MATCH(V40,JszStJahr5,0))))</f>
        <v>0</v>
      </c>
      <c r="W42" s="754"/>
      <c r="X42" s="754"/>
      <c r="Y42" s="713"/>
      <c r="Z42" s="754">
        <f>IF(ISERROR(INDEX(JszJahr5,MATCH(Z39,JszGrJahr5,0),MATCH(Z40,JszStJahr5,0))),0,(INDEX(JszJahr5,MATCH(Z39,JszGrJahr5,0),MATCH(Z40,JszStJahr5,0))))</f>
        <v>0</v>
      </c>
      <c r="AA42" s="713"/>
      <c r="AB42" s="712">
        <f>IF(ISERROR(INDEX(JszJahr6,MATCH(AB39,JszGrJahr6,0),MATCH(AB40,JszStJahr6,0))),0,(INDEX(JszJahr6,MATCH(AB39,JszGrJahr6,0),MATCH(AB40,JszStJahr6,0))))</f>
        <v>0</v>
      </c>
      <c r="AC42" s="713"/>
      <c r="AD42" s="712">
        <f>IF(ISERROR(INDEX(JszJahr6,MATCH(AD39,JszGrJahr6,0),MATCH(AD40,JszStJahr6,0))),0,(INDEX(JszJahr6,MATCH(AD39,JszGrJahr6,0),MATCH(AD40,JszStJahr6,0))))</f>
        <v>0</v>
      </c>
      <c r="AE42" s="713"/>
      <c r="AF42" s="712">
        <f>IF(ISERROR(INDEX(JszJahr6,MATCH(AF39,JszGrJahr6,0),MATCH(AF40,JszStJahr6,0))),0,(INDEX(JszJahr6,MATCH(AF39,JszGrJahr6,0),MATCH(AF40,JszStJahr6,0))))</f>
        <v>0</v>
      </c>
      <c r="AG42" s="713"/>
    </row>
    <row r="43" spans="2:45" ht="16.149999999999999" hidden="1" customHeight="1" outlineLevel="1" thickBot="1" x14ac:dyDescent="0.4">
      <c r="B43" s="104" t="s">
        <v>43</v>
      </c>
      <c r="C43" s="105"/>
      <c r="D43" s="105"/>
      <c r="E43" s="105"/>
      <c r="F43" s="105"/>
      <c r="G43" s="105"/>
      <c r="H43" s="107"/>
      <c r="I43" s="106"/>
      <c r="J43" s="757" t="str">
        <f>IF(SUM(D88:F88)&gt;0,"ja","nein")</f>
        <v>nein</v>
      </c>
      <c r="K43" s="757"/>
      <c r="L43" s="757"/>
      <c r="M43" s="757"/>
      <c r="N43" s="757"/>
      <c r="O43" s="757"/>
      <c r="P43" s="740" t="str">
        <f>IF(SUM(S88:U88)&gt;0,"ja","nein")</f>
        <v>nein</v>
      </c>
      <c r="Q43" s="741"/>
      <c r="R43" s="741"/>
      <c r="S43" s="741"/>
      <c r="T43" s="741"/>
      <c r="U43" s="741"/>
      <c r="V43" s="742"/>
      <c r="W43" s="742"/>
      <c r="X43" s="742"/>
      <c r="Y43" s="742"/>
      <c r="Z43" s="741"/>
      <c r="AA43" s="743"/>
      <c r="AB43" s="707" t="str">
        <f>IF(SUM(AI88:AK88)&gt;0,"ja","nein")</f>
        <v>nein</v>
      </c>
      <c r="AC43" s="708"/>
      <c r="AD43" s="708"/>
      <c r="AE43" s="708"/>
      <c r="AF43" s="708"/>
      <c r="AG43" s="709"/>
    </row>
    <row r="44" spans="2:45" ht="16.5" collapsed="1" thickBot="1" x14ac:dyDescent="0.4">
      <c r="B44" s="123" t="s">
        <v>111</v>
      </c>
      <c r="C44" s="124"/>
      <c r="D44" s="124"/>
      <c r="E44" s="124"/>
      <c r="F44" s="124"/>
      <c r="G44" s="124"/>
      <c r="H44" s="126"/>
      <c r="I44" s="125"/>
      <c r="J44" s="724">
        <f>StundenJahr4</f>
        <v>39</v>
      </c>
      <c r="K44" s="725"/>
      <c r="L44" s="724">
        <f>StundenJahr4</f>
        <v>39</v>
      </c>
      <c r="M44" s="725"/>
      <c r="N44" s="724">
        <f>StundenJahr4</f>
        <v>39</v>
      </c>
      <c r="O44" s="725"/>
      <c r="P44" s="737">
        <f>StundenJahr5</f>
        <v>39</v>
      </c>
      <c r="Q44" s="738"/>
      <c r="R44" s="127"/>
      <c r="S44" s="127"/>
      <c r="T44" s="127"/>
      <c r="U44" s="127"/>
      <c r="V44" s="758">
        <f>StundenJahr5</f>
        <v>39</v>
      </c>
      <c r="W44" s="758"/>
      <c r="X44" s="758"/>
      <c r="Y44" s="738"/>
      <c r="Z44" s="758">
        <f>StundenJahr5</f>
        <v>39</v>
      </c>
      <c r="AA44" s="738"/>
      <c r="AB44" s="724">
        <f>StundenJahr6</f>
        <v>39</v>
      </c>
      <c r="AC44" s="725"/>
      <c r="AD44" s="724">
        <f>StundenJahr6</f>
        <v>39</v>
      </c>
      <c r="AE44" s="725"/>
      <c r="AF44" s="724">
        <f>StundenJahr6</f>
        <v>39</v>
      </c>
      <c r="AG44" s="725"/>
    </row>
    <row r="45" spans="2:45" ht="16.5" thickBot="1" x14ac:dyDescent="0.4">
      <c r="B45" s="120" t="s">
        <v>89</v>
      </c>
      <c r="C45" s="94"/>
      <c r="D45" s="94"/>
      <c r="E45" s="94"/>
      <c r="F45" s="94"/>
      <c r="G45" s="94"/>
      <c r="H45" s="121"/>
      <c r="I45" s="95"/>
      <c r="J45" s="710" t="str">
        <f>IF(YEAR($N$6)&lt;$J$34,"",$O$6)</f>
        <v/>
      </c>
      <c r="K45" s="711"/>
      <c r="L45" s="710">
        <f>IF(L41&gt;0,$O$6,0)</f>
        <v>0</v>
      </c>
      <c r="M45" s="711"/>
      <c r="N45" s="726"/>
      <c r="O45" s="727"/>
      <c r="P45" s="710" t="str">
        <f>IF(YEAR($N$6)&lt;$P$34,"",$O$6)</f>
        <v/>
      </c>
      <c r="Q45" s="711"/>
      <c r="R45" s="331"/>
      <c r="S45" s="331"/>
      <c r="T45" s="331"/>
      <c r="U45" s="331"/>
      <c r="V45" s="710">
        <f>IF(V41&gt;0,$O$6,0)</f>
        <v>0</v>
      </c>
      <c r="W45" s="751"/>
      <c r="X45" s="751"/>
      <c r="Y45" s="711"/>
      <c r="Z45" s="726"/>
      <c r="AA45" s="727"/>
      <c r="AB45" s="710" t="str">
        <f>IF(YEAR($N$6)&lt;$AB$34,"",$O$6)</f>
        <v/>
      </c>
      <c r="AC45" s="711"/>
      <c r="AD45" s="710">
        <f>IF(AD41&gt;0,$O$6,0)</f>
        <v>0</v>
      </c>
      <c r="AE45" s="711"/>
      <c r="AF45" s="726"/>
      <c r="AG45" s="727"/>
    </row>
    <row r="46" spans="2:45" ht="18" thickBot="1" x14ac:dyDescent="0.4">
      <c r="B46" s="123" t="s">
        <v>173</v>
      </c>
      <c r="C46" s="124"/>
      <c r="D46" s="124"/>
      <c r="E46" s="124"/>
      <c r="F46" s="124"/>
      <c r="G46" s="124"/>
      <c r="H46" s="128"/>
      <c r="I46" s="125"/>
      <c r="J46" s="702" t="e">
        <f>IF($X$5=TRUE,ZuschlagJahr4,0)</f>
        <v>#N/A</v>
      </c>
      <c r="K46" s="703"/>
      <c r="L46" s="702" t="e">
        <f>IF($X$5=TRUE,ZuschlagJahr4,0)</f>
        <v>#N/A</v>
      </c>
      <c r="M46" s="703"/>
      <c r="N46" s="702" t="e">
        <f>IF($X$5=TRUE,ZuschlagJahr4,0)</f>
        <v>#N/A</v>
      </c>
      <c r="O46" s="703"/>
      <c r="P46" s="702" t="e">
        <f>IF($X$5=TRUE,ZuschlagJahr5,0)</f>
        <v>#N/A</v>
      </c>
      <c r="Q46" s="703"/>
      <c r="R46" s="129"/>
      <c r="S46" s="129"/>
      <c r="T46" s="129"/>
      <c r="U46" s="129"/>
      <c r="V46" s="702" t="e">
        <f>IF($X$5=TRUE,ZuschlagJahr5,0)</f>
        <v>#N/A</v>
      </c>
      <c r="W46" s="728"/>
      <c r="X46" s="728"/>
      <c r="Y46" s="703"/>
      <c r="Z46" s="702" t="e">
        <f>IF($X$5=TRUE,ZuschlagJahr5,0)</f>
        <v>#N/A</v>
      </c>
      <c r="AA46" s="703"/>
      <c r="AB46" s="702" t="e">
        <f>IF($X$5=TRUE,ZuschlagJahr6,0)</f>
        <v>#N/A</v>
      </c>
      <c r="AC46" s="703"/>
      <c r="AD46" s="702" t="e">
        <f>IF($X$5=TRUE,ZuschlagJahr6,0)</f>
        <v>#N/A</v>
      </c>
      <c r="AE46" s="703"/>
      <c r="AF46" s="702" t="e">
        <f>IF($X$5=TRUE,ZuschlagJahr6,0)</f>
        <v>#N/A</v>
      </c>
      <c r="AG46" s="703"/>
    </row>
    <row r="47" spans="2:45" x14ac:dyDescent="0.35">
      <c r="L47" s="115"/>
      <c r="M47" s="115"/>
      <c r="N47" s="115"/>
      <c r="O47" s="115"/>
      <c r="P47" s="115"/>
      <c r="Q47" s="115"/>
      <c r="R47" s="115"/>
      <c r="S47" s="115"/>
      <c r="T47" s="115"/>
      <c r="U47" s="115"/>
      <c r="V47" s="115"/>
      <c r="W47" s="115"/>
      <c r="X47" s="115"/>
      <c r="Y47" s="115"/>
    </row>
    <row r="48" spans="2:45" ht="18" x14ac:dyDescent="0.35">
      <c r="B48" s="383" t="s">
        <v>180</v>
      </c>
      <c r="L48" s="137"/>
      <c r="M48" s="137"/>
      <c r="N48" s="115"/>
      <c r="O48" s="137"/>
      <c r="P48" s="137"/>
      <c r="Q48" s="137"/>
      <c r="R48" s="137"/>
      <c r="S48" s="137"/>
      <c r="T48" s="137"/>
      <c r="U48" s="137"/>
      <c r="AS48" s="138"/>
    </row>
    <row r="49" spans="2:46" ht="18" x14ac:dyDescent="0.35">
      <c r="B49" s="383" t="s">
        <v>181</v>
      </c>
      <c r="L49" s="137"/>
      <c r="M49" s="137"/>
      <c r="N49" s="137"/>
      <c r="O49" s="137"/>
      <c r="P49" s="137"/>
      <c r="Q49" s="137"/>
      <c r="R49" s="137"/>
      <c r="S49" s="137"/>
      <c r="T49" s="137"/>
      <c r="U49" s="137"/>
    </row>
    <row r="50" spans="2:46" ht="18" x14ac:dyDescent="0.35">
      <c r="B50" s="599" t="s">
        <v>278</v>
      </c>
      <c r="C50" s="598"/>
      <c r="D50" s="598"/>
      <c r="E50" s="598"/>
      <c r="F50" s="598"/>
      <c r="G50" s="598"/>
      <c r="J50" s="139"/>
      <c r="K50" s="140"/>
      <c r="L50" s="141"/>
      <c r="M50" s="140"/>
      <c r="N50" s="137"/>
      <c r="O50" s="137"/>
      <c r="P50" s="137"/>
      <c r="Q50" s="137"/>
      <c r="R50" s="137"/>
      <c r="S50" s="137"/>
      <c r="T50" s="137"/>
      <c r="U50" s="137"/>
    </row>
    <row r="51" spans="2:46" x14ac:dyDescent="0.35">
      <c r="B51" s="634" t="s">
        <v>265</v>
      </c>
      <c r="C51" s="634"/>
      <c r="D51" s="634"/>
      <c r="E51" s="634"/>
      <c r="F51" s="634"/>
      <c r="G51" s="634"/>
      <c r="J51" s="139"/>
      <c r="K51" s="140"/>
      <c r="L51" s="141"/>
      <c r="M51" s="140"/>
      <c r="N51" s="137"/>
      <c r="O51" s="137"/>
      <c r="P51" s="137"/>
      <c r="Q51" s="137"/>
      <c r="R51" s="137"/>
      <c r="S51" s="137"/>
      <c r="T51" s="137"/>
      <c r="U51" s="137"/>
    </row>
    <row r="52" spans="2:46" ht="24.75" hidden="1" customHeight="1" outlineLevel="1" thickBot="1" x14ac:dyDescent="0.4">
      <c r="B52" s="142" t="s">
        <v>77</v>
      </c>
      <c r="C52" s="138"/>
      <c r="D52" s="140"/>
      <c r="E52" s="140"/>
      <c r="F52" s="140"/>
      <c r="G52" s="143" t="e">
        <f>G55+V55+AL55+G75+V75+AL75</f>
        <v>#NUM!</v>
      </c>
      <c r="J52" s="138"/>
      <c r="K52" s="140"/>
      <c r="L52" s="140"/>
      <c r="M52" s="140"/>
      <c r="N52" s="137"/>
      <c r="P52" s="137"/>
      <c r="Q52" s="137"/>
      <c r="R52" s="137"/>
      <c r="S52" s="137"/>
      <c r="T52" s="137"/>
      <c r="U52" s="137"/>
    </row>
    <row r="53" spans="2:46" collapsed="1" x14ac:dyDescent="0.35">
      <c r="B53" s="383"/>
      <c r="J53" s="138"/>
      <c r="K53" s="140"/>
      <c r="L53" s="140"/>
      <c r="M53" s="140"/>
      <c r="N53" s="137"/>
      <c r="P53" s="137"/>
      <c r="Q53" s="137"/>
      <c r="R53" s="137"/>
      <c r="S53" s="137"/>
      <c r="T53" s="137"/>
      <c r="U53" s="137"/>
    </row>
    <row r="54" spans="2:46" ht="18.75" customHeight="1" thickBot="1" x14ac:dyDescent="0.4">
      <c r="G54" s="139"/>
      <c r="L54" s="137"/>
      <c r="M54" s="137"/>
      <c r="N54" s="137"/>
      <c r="O54" s="137"/>
      <c r="P54" s="137"/>
      <c r="Q54" s="137"/>
      <c r="R54" s="137"/>
      <c r="S54" s="137"/>
      <c r="T54" s="137"/>
      <c r="U54" s="137"/>
    </row>
    <row r="55" spans="2:46" ht="16.5" thickBot="1" x14ac:dyDescent="0.4">
      <c r="B55" s="144" t="s">
        <v>59</v>
      </c>
      <c r="C55" s="145"/>
      <c r="D55" s="145"/>
      <c r="E55" s="145"/>
      <c r="F55" s="145"/>
      <c r="G55" s="146" t="e">
        <f>J23+L23+N23</f>
        <v>#NUM!</v>
      </c>
      <c r="H55" s="145"/>
      <c r="L55" s="137"/>
      <c r="M55" s="137"/>
      <c r="N55" s="137"/>
      <c r="O55" s="137"/>
      <c r="P55" s="753" t="s">
        <v>59</v>
      </c>
      <c r="Q55" s="736"/>
      <c r="R55" s="147"/>
      <c r="S55" s="147"/>
      <c r="T55" s="147"/>
      <c r="U55" s="147"/>
      <c r="V55" s="735">
        <f>P23+V23+Z23</f>
        <v>0</v>
      </c>
      <c r="W55" s="736"/>
      <c r="AC55" s="137"/>
      <c r="AD55" s="137"/>
      <c r="AE55" s="137"/>
      <c r="AF55" s="720" t="s">
        <v>59</v>
      </c>
      <c r="AG55" s="721"/>
      <c r="AH55" s="433"/>
      <c r="AI55" s="433"/>
      <c r="AJ55" s="433"/>
      <c r="AK55" s="433"/>
      <c r="AL55" s="771">
        <f>AB23+AD23+AF23</f>
        <v>0</v>
      </c>
      <c r="AM55" s="734"/>
    </row>
    <row r="56" spans="2:46" x14ac:dyDescent="0.35">
      <c r="B56" s="144">
        <f>J20</f>
        <v>1900</v>
      </c>
      <c r="C56" s="145" t="s">
        <v>31</v>
      </c>
      <c r="D56" s="145" t="s">
        <v>32</v>
      </c>
      <c r="E56" s="145" t="s">
        <v>33</v>
      </c>
      <c r="F56" s="145" t="s">
        <v>34</v>
      </c>
      <c r="G56" s="145" t="s">
        <v>5</v>
      </c>
      <c r="H56" s="145" t="s">
        <v>6</v>
      </c>
      <c r="I56" s="145" t="s">
        <v>299</v>
      </c>
      <c r="J56" s="145" t="s">
        <v>7</v>
      </c>
      <c r="K56" s="145" t="s">
        <v>8</v>
      </c>
      <c r="L56" s="145" t="s">
        <v>9</v>
      </c>
      <c r="M56" s="145" t="s">
        <v>10</v>
      </c>
      <c r="N56" s="145" t="s">
        <v>11</v>
      </c>
      <c r="O56" s="149"/>
      <c r="P56" s="753">
        <f>B56+1</f>
        <v>1901</v>
      </c>
      <c r="Q56" s="736"/>
      <c r="R56" s="147" t="s">
        <v>31</v>
      </c>
      <c r="S56" s="147" t="s">
        <v>32</v>
      </c>
      <c r="T56" s="147" t="s">
        <v>33</v>
      </c>
      <c r="U56" s="147" t="s">
        <v>34</v>
      </c>
      <c r="V56" s="752" t="s">
        <v>5</v>
      </c>
      <c r="W56" s="736"/>
      <c r="X56" s="147" t="s">
        <v>6</v>
      </c>
      <c r="Y56" s="147" t="s">
        <v>299</v>
      </c>
      <c r="Z56" s="147" t="s">
        <v>7</v>
      </c>
      <c r="AA56" s="147" t="s">
        <v>8</v>
      </c>
      <c r="AB56" s="147" t="s">
        <v>9</v>
      </c>
      <c r="AC56" s="147" t="s">
        <v>10</v>
      </c>
      <c r="AD56" s="147" t="s">
        <v>11</v>
      </c>
      <c r="AF56" s="718">
        <f>P56+1</f>
        <v>1902</v>
      </c>
      <c r="AG56" s="719"/>
      <c r="AH56" s="433" t="s">
        <v>31</v>
      </c>
      <c r="AI56" s="433" t="s">
        <v>32</v>
      </c>
      <c r="AJ56" s="433" t="s">
        <v>33</v>
      </c>
      <c r="AK56" s="433" t="s">
        <v>34</v>
      </c>
      <c r="AL56" s="733" t="s">
        <v>5</v>
      </c>
      <c r="AM56" s="734"/>
      <c r="AN56" s="150" t="s">
        <v>6</v>
      </c>
      <c r="AO56" s="150" t="s">
        <v>299</v>
      </c>
      <c r="AP56" s="150" t="s">
        <v>7</v>
      </c>
      <c r="AQ56" s="150" t="s">
        <v>8</v>
      </c>
      <c r="AR56" s="150" t="s">
        <v>9</v>
      </c>
      <c r="AS56" s="150" t="s">
        <v>10</v>
      </c>
      <c r="AT56" s="150" t="s">
        <v>11</v>
      </c>
    </row>
    <row r="57" spans="2:46" x14ac:dyDescent="0.35">
      <c r="B57" s="151" t="s">
        <v>12</v>
      </c>
      <c r="C57" s="152">
        <f>EOMONTH(CONCATENATE("01.","01.",$B$56),0)</f>
        <v>31</v>
      </c>
      <c r="D57" s="153" t="e">
        <f t="shared" ref="D57:D68" si="0">IF($J$22="",0,IF(AND(DAY($J$22)&gt;1,MONTH(C57)=MONTH($J$22)),$K$23,IF(AND(C57&gt;=$J$22,C57&lt;=$K$22),30,IF((MONTH(C57)=MONTH($K$22)),DAY($K$22),0))))</f>
        <v>#VALUE!</v>
      </c>
      <c r="E57" s="153" t="e">
        <f t="shared" ref="E57:E68" si="1">IF($L$22="",0,IF(C57&lt;$L$22,0,IF(AND(MONTH($L$22)=MONTH($M$22),MONTH(C57)=MONTH($M$22)),$M$23,IF(AND(MONTH($L$22)&lt;&gt;MONTH($M$22),MONTH(C57)=MONTH($L$22)),$M$23,IF(AND(D57&gt;0,DAY($J$22)&gt;1,MONTH($J$22)=MONTH($K$22)),30-D57-DAY($J$22)+1,IF(AND(D57&gt;0,DAY($J$22)&gt;1),30-D57,(IF(D57&gt;0,30-D57,IF(AND(C57&gt;=$L$22,C57&lt;=$M$22),30,IF((MONTH(C57)=MONTH($M$22)),DAY($M$22),0))))))))))</f>
        <v>#VALUE!</v>
      </c>
      <c r="F57" s="153">
        <f>IF($N$22="",0,IF(C57&lt;$N$22,0,IF(AND(MONTH($N$22)=MONTH($O$22),MONTH(C57)=MONTH($O$22)),$O$23,IF(AND(MONTH($N$22)&lt;&gt;MONTH($O$22),MONTH(C57)=MONTH($N$22)),$O$23,IF(AND(E57&gt;0,MONTH($N$22)=MONTH($M$22)),30-DAY($M$22),(IF(E57&gt;0,30-D57-E57,IF(AND(C57&gt;=$N$22,C57&lt;=$O$22),30,IF((MONTH(C57)=MONTH($O$22)),DAY($O$22),0)))))))))</f>
        <v>0</v>
      </c>
      <c r="G57" s="154" t="e">
        <f>IF($B$56=2026,((D57*$J$24/30)+(E57*$L$24/30)+(F57*$N$24/30))*100/102.8,
IF($B$56=2027,((D57*$J$24/30)+(E57*$L$24/30)+(F57*$N$24/30))*100/102,
IF(AND($B$56=2028,$X$5=TRUE),((D57*$J$24/30)+(E57*$L$24/30)+(F57*$N$24/30))*100/102,
(D57*$J$24/30)+(E57*$L$24/30)+(F57*$N$24/30))))</f>
        <v>#VALUE!</v>
      </c>
      <c r="H57" s="155" t="e">
        <f t="shared" ref="H57:H68" si="2">IF(AND(SUM(D57:F57)=30,F57&gt;0),$N$24*$N$28,IF(AND(SUM(D57:F57)=30,E57&gt;0),$L$24*$L$28,IF(AND(SUM(D57:F57)=30,D57&gt;0),$J$24*$J$28,"")))</f>
        <v>#VALUE!</v>
      </c>
      <c r="I57" s="156" t="e">
        <f>IF(AND($X$9=TRUE,G57&gt;0,$B$56&lt;&gt;2026),(MZJahr1*$O$10),0)</f>
        <v>#VALUE!</v>
      </c>
      <c r="J57" s="155" t="e">
        <f>IF(G57=0,0,IF(AND($J$29="ja",$X$6=TRUE),(AVERAGE($H$63:$H$68))/12*COUNTIFS($G$57:$G$68,"&gt;0"),IF(AND($X$6=TRUE,$J$29="nein"),(AVERAGE($H$57:$H$68)/12)*COUNTIFS($G$57:$G$68,"&gt;0"),IF(AND(OR($X$6="",$X$6=FALSE),$J$29="ja"),(AVERAGE($H$63:$H$68))/12*COUNTIFS($G$57:$G$68,"&gt;0"),0)))/COUNTIFS($G$57:$G$68,"&gt;0"))</f>
        <v>#VALUE!</v>
      </c>
      <c r="K57" s="156" t="e">
        <f t="shared" ref="K57:K68" si="3">IF((G57)&gt;=Bmg2Jahr1,AGHBTR_Jahr1,IF((G57)&gt;=Bmg1Jahr1,(RvBeitrJahr1*(G57+J57))+(AvBeitrJahr1*(G57+J57))+(U2UmlJahr1*(G57+J57))+HBetrKVJahr1+HBetrPVJahr1,AGBTR_Jahr1*(G57+J57)))</f>
        <v>#VALUE!</v>
      </c>
      <c r="L57" s="156" t="e">
        <f t="shared" ref="L57:L68" si="4">IF($X$8=TRUE,VZunbDM1*(G57+J57+K57+I57-U2UmlJahr1*(G57+J57)),VzDmJahr1*(G57+J57))</f>
        <v>#N/A</v>
      </c>
      <c r="M57" s="156" t="e">
        <f t="shared" ref="M57:M68" si="5">IF(G57&gt;0,(LukJahr1*$W$6),0)</f>
        <v>#VALUE!</v>
      </c>
      <c r="N57" s="156" t="e">
        <f>SUM(G57,J57,K57,L57,M57+I57)</f>
        <v>#VALUE!</v>
      </c>
      <c r="O57" s="157"/>
      <c r="P57" s="667" t="s">
        <v>12</v>
      </c>
      <c r="Q57" s="668"/>
      <c r="R57" s="152">
        <f>EOMONTH(CONCATENATE("01.","01.",$P$56),0)</f>
        <v>397</v>
      </c>
      <c r="S57" s="153">
        <f>IF($P$22="",0,IF(AND(DAY($P$22)&gt;1,MONTH(R57)=MONTH($P$22)),$Q$23,IF(AND(R57&gt;=$P$22,R57&lt;=$Q$22),30,IF((MONTH(R57)=MONTH($Q$22)),DAY($Q$22),0))))</f>
        <v>0</v>
      </c>
      <c r="T57" s="153">
        <f>IF($V$22="",0,IF(R57&lt;$V$22,0,IF(AND(MONTH($V$22)=MONTH($W$22),MONTH(R57)=MONTH($W$22)),$W$23,IF(AND(MONTH($V$22)&lt;&gt;MONTH($W$22),MONTH(R57)=MONTH($V$22)),$W$23,IF(AND(S57&gt;0,DAY($P$22)&gt;1,MONTH($P$22)=MONTH($Q$22)),30-S57-DAY($P$22)+1,IF(AND(S57&gt;0,DAY($P$22)&gt;1),30-S57,(IF(S57&gt;0,30-S57,IF(AND(R57&gt;=$V$22,R57&lt;=$W$22),30,IF((MONTH(R57)=MONTH($W$22)),DAY($W$22),0))))))))))</f>
        <v>0</v>
      </c>
      <c r="U57" s="153">
        <f t="shared" ref="U57:U68" si="6">IF($Z$22="",0,IF(R57&lt;$Z$22,0,IF(AND(MONTH($Z$22)=MONTH($AA$22),MONTH(R57)=MONTH($AA$22)),$AA$23,IF(AND(MONTH($Z$22)&lt;&gt;MONTH($AA$22),MONTH(R57)=MONTH($Z$22)),$AA$23,IF(AND(T57&gt;0,MONTH($Z$22)=MONTH($W$22)),30-DAY($W$22),(IF(T57&gt;0,30-S57-T57,IF(AND(R57&gt;=$Z$22,R57&lt;=$AA$22),30,IF((MONTH(R57)=MONTH($AA$22)),DAY($AA$22),0)))))))))</f>
        <v>0</v>
      </c>
      <c r="V57" s="677">
        <f>IF($P$56=2027,((S57*$P$24/30)+(T57*$V$24/30)+(U57*$Z$24/30))*100/102,
IF(AND($P$56=2028,$X$5=TRUE),((S57*$P$24/30)+(T57*$V$24/30)+(U57*$Z$24/30))*100/102,
(S57*$P$24/30)+(T57*$V$24/30)+(U57*$Z$24/30)))</f>
        <v>0</v>
      </c>
      <c r="W57" s="678"/>
      <c r="X57" s="155" t="str">
        <f t="shared" ref="X57:X64" si="7">IF(AND(SUM(S57:U57)=30,U57&gt;0),$Z$24*$Z$28,IF(AND(SUM(S57:U57)=30,T57&gt;0),$V$24*$V$28,IF(AND(SUM(S57:U57)=30,S57&gt;0),$P$24*$P$28,"")))</f>
        <v/>
      </c>
      <c r="Y57" s="156">
        <f t="shared" ref="Y57:Y68" si="8">IF(AND($X$9=TRUE,V57&gt;0),(MZJahr2*$O$10),0)</f>
        <v>0</v>
      </c>
      <c r="Z57" s="155">
        <f>IF(V57=0,0,IF(AND($P$29="ja",$X$6=TRUE),(AVERAGE($X$63:$X$68))/12*COUNTIFS($V$57:$W$68,"&gt;0"),IF(AND($X$6=TRUE,$P$29="nein"),(AVERAGE($X$57:$X$68)/12)*COUNTIFS($V$57:$W$68,"&gt;0"),IF(AND(OR($X$6="",$X$6=FALSE),$P$29="ja"),(AVERAGE($X$63:$X$68))/12*COUNTIFS($V$57:$W$68,"&gt;0"),0)))/COUNTIFS($V$57:$W$68,"&gt;0"))</f>
        <v>0</v>
      </c>
      <c r="AA57" s="156" t="e">
        <f t="shared" ref="AA57:AA68" si="9">IF((V57)&gt;=Bmg2Jahr2,AGHBTR_Jahr2,IF((V57)&gt;=Bmg1Jahr2,(RvBeitrJahr2*(V57+Z57))+(AvBeitrJahr2*(V57+Z57))+(U2UmlJahr2*(V57+Z57))+HBetrKVJahr2+HBetrPVJahr2,AGBTR_Jahr2*(V57+Z57)))</f>
        <v>#N/A</v>
      </c>
      <c r="AB57" s="156" t="e">
        <f t="shared" ref="AB57:AB68" si="10">IF($X$8=TRUE,VZunbDM1*(U57+Y57+Z57+AA57-U2UmlJahr1*(V57+Z57)),VzDmJahr1*(V57+Z57))</f>
        <v>#N/A</v>
      </c>
      <c r="AC57" s="156">
        <f t="shared" ref="AC57:AC68" si="11">IF(V57&gt;0,(LukJahr2*$W$6),0)</f>
        <v>0</v>
      </c>
      <c r="AD57" s="156" t="e">
        <f>SUM(V57,Z57,AA57,AB57,AC57+Y57)</f>
        <v>#N/A</v>
      </c>
      <c r="AE57" s="158"/>
      <c r="AF57" s="667" t="s">
        <v>12</v>
      </c>
      <c r="AG57" s="668"/>
      <c r="AH57" s="152">
        <f>EOMONTH(CONCATENATE("01.","01.",$AF$56),0)</f>
        <v>762</v>
      </c>
      <c r="AI57" s="153">
        <f t="shared" ref="AI57:AI68" si="12">IF($AB$22="",0,IF(AND(DAY($AB$22)&gt;1,MONTH(AH57)=MONTH($AB$22)),$AC$23,IF(AND(AH57&gt;=$AB$22,AH57&lt;=$AC$22),30,IF((MONTH(AH57)=MONTH($AC$22)),DAY($AC$22),0))))</f>
        <v>0</v>
      </c>
      <c r="AJ57" s="153">
        <f t="shared" ref="AJ57:AJ68" si="13">IF($AD$22="",0,IF(AH57&lt;$AD$22,0,IF(AND(MONTH($AD$22)=MONTH($AE$22),MONTH(AH57)=MONTH($AE$22)),$AE$23,IF(AND(MONTH($AD$22)&lt;&gt;MONTH($AE$22),MONTH(AH57)=MONTH($AD$22)),$AE$23,IF(AND(AI57&gt;0,DAY($AB$22)&gt;1,MONTH($AB$22)=MONTH($AC$22)),30-AI57-DAY($AB$22)+1,IF(AND(AI57&gt;0,DAY($AB$22)&gt;1),30-AI57,(IF(AI57&gt;0,30-AI57,IF(AND(AH57&gt;=$AD$22,AH57&lt;=$AE$22),30,IF((MONTH(AH57)=MONTH($AE$22)),DAY($AE$22),0))))))))))</f>
        <v>0</v>
      </c>
      <c r="AK57" s="153">
        <f t="shared" ref="AK57:AK68" si="14">IF($AF$22="",0,IF(AH57&lt;$AF$22,0,IF(AND(MONTH($AF$22)=MONTH($AG$22),MONTH(AH57)=MONTH($AG$22)),$AG$23,IF(AND(MONTH($AF$22)&lt;&gt;MONTH($AG$22),MONTH(AH57)=MONTH($AF$22)),$AG$23,IF(AND(AJ57&gt;0,MONTH($AF$22)=MONTH($AE$22)),30-DAY($AE$22),(IF(AJ57&gt;0,30-AI57-AJ57,IF(AND(AH57&gt;=$AF$22,AH57&lt;=$AG$22),30,IF((MONTH(AH57)=MONTH($AG$22)),DAY($AG$22),0)))))))))</f>
        <v>0</v>
      </c>
      <c r="AL57" s="677">
        <f t="shared" ref="AL57:AL62" si="15">IF(AND($AF$56=2028,$X$5=TRUE),((AI57*$AB$24/30)+(AJ57*$AD$24/30)+(AK57*$AF$24/30))*100/102,(AI57*$AB$24/30)+(AJ57*$AD$24/30)+(AK57*$AF$24/30))</f>
        <v>0</v>
      </c>
      <c r="AM57" s="678"/>
      <c r="AN57" s="155" t="str">
        <f t="shared" ref="AN57:AN68" si="16">IF(AND(SUM(AI57:AK57)=30,AK57&gt;0),$AF$24*$AF$28,IF(AND(SUM(AI57:AK57)=30,AJ57&gt;0),$AD$24*$AD$28,IF(AND(SUM(AI57:AK57)=30,AI57&gt;0),$AB$24*$AB$28,"")))</f>
        <v/>
      </c>
      <c r="AO57" s="156">
        <f t="shared" ref="AO57:AO68" si="17">IF(AND($X$9=TRUE,AL57&gt;0),(MZJahr3*$O$10),0)</f>
        <v>0</v>
      </c>
      <c r="AP57" s="155">
        <f>IF(AL57=0,0,IF(AND($AB$29="ja",$X$6=TRUE),(AVERAGE($AN$63:$AN$68))/12*COUNTIFS($AL$57:$AM$68,"&gt;0"),IF(AND($X$6=TRUE,$AB$29="nein"),(AVERAGE($AN$57:$AN$68)/12)*COUNTIFS($AL$57:$AM$68,"&gt;0"),IF(AND(OR($X$6="",$X$6=FALSE),$AB$29="ja"),(AVERAGE($AN$63:$AN$68))/12*COUNTIFS($AL$57:$AM$68,"&gt;0"),0)))/COUNTIFS($AL$57:$AM$68,"&gt;0"))</f>
        <v>0</v>
      </c>
      <c r="AQ57" s="156" t="e">
        <f t="shared" ref="AQ57:AQ68" si="18">IF((AL57)&gt;=Bmg2Jahr3,AGHBTR_Jahr3,IF((AL57)&gt;=Bmg1Jahr3,(RvBeitrJahr3*(AL57+AP57))+(AvBeitrJahr3*(AL57+AP57))+(U2UmlJahr3*(AL57+AP57))+HBetrKVJahr3+HBetrPVJahr3,AGBTR_Jahr3*(AL57+AP57)))</f>
        <v>#N/A</v>
      </c>
      <c r="AR57" s="156" t="e">
        <f t="shared" ref="AR57:AR68" si="19">IF($X$8=TRUE,VZunbDM1*(AK57+AO57+AP57+AQ57-U2UmlJahr1*(AL57+AP57)),VzDmJahr1*(AL57+AP57))</f>
        <v>#N/A</v>
      </c>
      <c r="AS57" s="156">
        <f t="shared" ref="AS57:AS68" si="20">IF(AL57&gt;0,(LukJahr3*$W$6),0)</f>
        <v>0</v>
      </c>
      <c r="AT57" s="156" t="e">
        <f>SUM(AL57,AP57,AQ57,AR57,AS57+AO57)</f>
        <v>#N/A</v>
      </c>
    </row>
    <row r="58" spans="2:46" x14ac:dyDescent="0.35">
      <c r="B58" s="151" t="s">
        <v>13</v>
      </c>
      <c r="C58" s="152">
        <f>EOMONTH(CONCATENATE("01.","01.",$B$56),1)</f>
        <v>59</v>
      </c>
      <c r="D58" s="153" t="e">
        <f t="shared" si="0"/>
        <v>#VALUE!</v>
      </c>
      <c r="E58" s="153" t="e">
        <f t="shared" si="1"/>
        <v>#VALUE!</v>
      </c>
      <c r="F58" s="153">
        <f t="shared" ref="F58:F68" si="21">IF($N$22="",0,IF(C58&lt;$N$22,0,IF(AND(MONTH($N$22)=MONTH($O$22),MONTH(C58)=MONTH($O$22)),$O$23,IF(AND(MONTH($N$22)&lt;&gt;MONTH($O$22),MONTH(C58)=MONTH($N$22)),$O$23,IF(AND(E58&gt;0,MONTH($N$22)=MONTH($M$22)),30-DAY($M$22),(IF(E58&gt;0,30-D58-E58,IF(AND(C58&gt;=$N$22,C58&lt;=$O$22),30,IF((MONTH(C58)=MONTH($O$22)),DAY($O$22),0)))))))))</f>
        <v>0</v>
      </c>
      <c r="G58" s="154" t="e">
        <f>IF($B$56=2026,((D58*$J$24/30)+(E58*$L$24/30)+(F58*$N$24/30))*100/102.8,
IF($B$56=2027,((D58*$J$24/30)+(E58*$L$24/30)+(F58*$N$24/30))*100/102,
IF(AND($B$56=2028,$X$5=TRUE),((D58*$J$24/30)+(E58*$L$24/30)+(F58*$N$24/30))*100/102,
(D58*$J$24/30)+(E58*$L$24/30)+(F58*$N$24/30))))</f>
        <v>#VALUE!</v>
      </c>
      <c r="H58" s="155" t="e">
        <f t="shared" si="2"/>
        <v>#VALUE!</v>
      </c>
      <c r="I58" s="156" t="e">
        <f>IF(AND($X$9=TRUE,G58&gt;0,$B$56&lt;&gt;2026),(MZJahr1*$O$10),0)</f>
        <v>#VALUE!</v>
      </c>
      <c r="J58" s="155" t="e">
        <f t="shared" ref="J58:J68" si="22">IF(G58=0,0,IF(AND($J$29="ja",$X$6=TRUE),(AVERAGE($H$63:$H$68))/12*COUNTIFS($G$57:$G$68,"&gt;0"),IF(AND($X$6=TRUE,$J$29="nein"),(AVERAGE($H$57:$H$68)/12)*COUNTIFS($G$57:$G$68,"&gt;0"),IF(AND(OR($X$6="",$X$6=FALSE),$J$29="ja"),(AVERAGE($H$63:$H$68))/12*COUNTIFS($G$57:$G$68,"&gt;0"),0)))/COUNTIFS($G$57:$G$68,"&gt;0"))</f>
        <v>#VALUE!</v>
      </c>
      <c r="K58" s="156" t="e">
        <f t="shared" si="3"/>
        <v>#VALUE!</v>
      </c>
      <c r="L58" s="156" t="e">
        <f t="shared" si="4"/>
        <v>#N/A</v>
      </c>
      <c r="M58" s="156" t="e">
        <f t="shared" si="5"/>
        <v>#VALUE!</v>
      </c>
      <c r="N58" s="156" t="e">
        <f t="shared" ref="N58:N68" si="23">SUM(G58,J58,K58,L58,M58+I58)</f>
        <v>#VALUE!</v>
      </c>
      <c r="O58" s="157"/>
      <c r="P58" s="667" t="s">
        <v>13</v>
      </c>
      <c r="Q58" s="668"/>
      <c r="R58" s="152">
        <f>EOMONTH(CONCATENATE("01.","01.",$P$56),1)</f>
        <v>425</v>
      </c>
      <c r="S58" s="153">
        <f t="shared" ref="S58:S68" si="24">IF($P$22="",0,IF(AND(DAY($P$22)&gt;1,MONTH(R58)=MONTH($P$22)),$Q$23,IF(AND(R58&gt;=$P$22,R58&lt;=$Q$22),30,IF((MONTH(R58)=MONTH($Q$22)),DAY($Q$22),0))))</f>
        <v>0</v>
      </c>
      <c r="T58" s="153">
        <f t="shared" ref="T58:T68" si="25">IF($V$22="",0,IF(R58&lt;$V$22,0,IF(AND(MONTH($V$22)=MONTH($W$22),MONTH(R58)=MONTH($W$22)),$W$23,IF(AND(MONTH($V$22)&lt;&gt;MONTH($W$22),MONTH(R58)=MONTH($V$22)),$W$23,IF(AND(S58&gt;0,DAY($P$22)&gt;1,MONTH($P$22)=MONTH($Q$22)),30-S58-DAY($P$22)+1,IF(AND(S58&gt;0,DAY($P$22)&gt;1),30-S58,(IF(S58&gt;0,30-S58,IF(AND(R58&gt;=$V$22,R58&lt;=$W$22),30,IF((MONTH(R58)=MONTH($W$22)),DAY($W$22),0))))))))))</f>
        <v>0</v>
      </c>
      <c r="U58" s="153">
        <f t="shared" si="6"/>
        <v>0</v>
      </c>
      <c r="V58" s="677">
        <f>IF($P$56=2027,((S58*$P$24/30)+(T58*$V$24/30)+(U58*$Z$24/30))*100/102,
IF(AND($P$56=2028,$X$5=TRUE),((S58*$P$24/30)+(T58*$V$24/30)+(U58*$Z$24/30))*100/102,
(S58*$P$24/30)+(T58*$V$24/30)+(U58*$Z$24/30)))</f>
        <v>0</v>
      </c>
      <c r="W58" s="678"/>
      <c r="X58" s="155" t="str">
        <f t="shared" si="7"/>
        <v/>
      </c>
      <c r="Y58" s="156">
        <f t="shared" si="8"/>
        <v>0</v>
      </c>
      <c r="Z58" s="155">
        <f t="shared" ref="Z58:Z68" si="26">IF(V58=0,0,IF(AND($P$29="ja",$X$6=TRUE),(AVERAGE($X$63:$X$68))/12*COUNTIFS($V$57:$W$68,"&gt;0"),IF(AND($X$6=TRUE,$P$29="nein"),(AVERAGE($X$57:$X$68)/12)*COUNTIFS($V$57:$W$68,"&gt;0"),IF(AND(OR($X$6="",$X$6=FALSE),$P$29="ja"),(AVERAGE($X$63:$X$68))/12*COUNTIFS($V$57:$W$68,"&gt;0"),0)))/COUNTIFS($V$57:$W$68,"&gt;0"))</f>
        <v>0</v>
      </c>
      <c r="AA58" s="156" t="e">
        <f t="shared" si="9"/>
        <v>#N/A</v>
      </c>
      <c r="AB58" s="156" t="e">
        <f t="shared" si="10"/>
        <v>#N/A</v>
      </c>
      <c r="AC58" s="156">
        <f t="shared" si="11"/>
        <v>0</v>
      </c>
      <c r="AD58" s="156" t="e">
        <f t="shared" ref="AD58:AD68" si="27">SUM(V58,Z58,AA58,AB58,AC58+Y58)</f>
        <v>#N/A</v>
      </c>
      <c r="AE58" s="158"/>
      <c r="AF58" s="667" t="s">
        <v>13</v>
      </c>
      <c r="AG58" s="668"/>
      <c r="AH58" s="152">
        <f>EOMONTH(CONCATENATE("01.","01.",$AF$56),1)</f>
        <v>790</v>
      </c>
      <c r="AI58" s="153">
        <f t="shared" si="12"/>
        <v>0</v>
      </c>
      <c r="AJ58" s="153">
        <f t="shared" si="13"/>
        <v>0</v>
      </c>
      <c r="AK58" s="153">
        <f t="shared" si="14"/>
        <v>0</v>
      </c>
      <c r="AL58" s="677">
        <f t="shared" si="15"/>
        <v>0</v>
      </c>
      <c r="AM58" s="678"/>
      <c r="AN58" s="155" t="str">
        <f t="shared" si="16"/>
        <v/>
      </c>
      <c r="AO58" s="156">
        <f t="shared" si="17"/>
        <v>0</v>
      </c>
      <c r="AP58" s="155">
        <f t="shared" ref="AP58:AP68" si="28">IF(AL58=0,0,IF(AND($AB$29="ja",$X$6=TRUE),(AVERAGE($AN$63:$AN$68))/12*COUNTIFS($AL$57:$AM$68,"&gt;0"),IF(AND($X$6=TRUE,$AB$29="nein"),(AVERAGE($AN$57:$AN$68)/12)*COUNTIFS($AL$57:$AM$68,"&gt;0"),IF(AND(OR($X$6="",$X$6=FALSE),$AB$29="ja"),(AVERAGE($AN$63:$AN$68))/12*COUNTIFS($AL$57:$AM$68,"&gt;0"),0)))/COUNTIFS($AL$57:$AM$68,"&gt;0"))</f>
        <v>0</v>
      </c>
      <c r="AQ58" s="156" t="e">
        <f t="shared" si="18"/>
        <v>#N/A</v>
      </c>
      <c r="AR58" s="156" t="e">
        <f t="shared" si="19"/>
        <v>#N/A</v>
      </c>
      <c r="AS58" s="156">
        <f t="shared" si="20"/>
        <v>0</v>
      </c>
      <c r="AT58" s="156" t="e">
        <f t="shared" ref="AT58:AT68" si="29">SUM(AL58,AP58,AQ58,AR58,AS58+AO58)</f>
        <v>#N/A</v>
      </c>
    </row>
    <row r="59" spans="2:46" x14ac:dyDescent="0.35">
      <c r="B59" s="151" t="s">
        <v>14</v>
      </c>
      <c r="C59" s="152">
        <f>EOMONTH(CONCATENATE("01.","01.",$B$56),2)</f>
        <v>91</v>
      </c>
      <c r="D59" s="153" t="e">
        <f t="shared" si="0"/>
        <v>#VALUE!</v>
      </c>
      <c r="E59" s="153" t="e">
        <f t="shared" si="1"/>
        <v>#VALUE!</v>
      </c>
      <c r="F59" s="153">
        <f t="shared" si="21"/>
        <v>0</v>
      </c>
      <c r="G59" s="154" t="e">
        <f>IF($B$56=2026,((D59*$J$24/30)+(E59*$L$24/30)+(F59*$N$24/30))*100/102.8,
IF(AND($B$56=2028,$X$5=TRUE),((D59*$J$24/30)+(E59*$L$24/30)+(F59*$N$24/30))*100/102,
(D59*$J$24/30)+(E59*$L$24/30)+(F59*$N$24/30)))</f>
        <v>#VALUE!</v>
      </c>
      <c r="H59" s="155" t="e">
        <f t="shared" si="2"/>
        <v>#VALUE!</v>
      </c>
      <c r="I59" s="156" t="e">
        <f>IF(AND($X$9=TRUE,G59&gt;0,$B$56&lt;&gt;2026),(MZJahr1*$O$10),0)</f>
        <v>#VALUE!</v>
      </c>
      <c r="J59" s="155" t="e">
        <f t="shared" si="22"/>
        <v>#VALUE!</v>
      </c>
      <c r="K59" s="156" t="e">
        <f t="shared" si="3"/>
        <v>#VALUE!</v>
      </c>
      <c r="L59" s="156" t="e">
        <f t="shared" si="4"/>
        <v>#N/A</v>
      </c>
      <c r="M59" s="156" t="e">
        <f t="shared" si="5"/>
        <v>#VALUE!</v>
      </c>
      <c r="N59" s="156" t="e">
        <f t="shared" si="23"/>
        <v>#VALUE!</v>
      </c>
      <c r="O59" s="157"/>
      <c r="P59" s="667" t="s">
        <v>14</v>
      </c>
      <c r="Q59" s="668"/>
      <c r="R59" s="152">
        <f>EOMONTH(CONCATENATE("01.","01.",$P$56),2)</f>
        <v>456</v>
      </c>
      <c r="S59" s="153">
        <f t="shared" si="24"/>
        <v>0</v>
      </c>
      <c r="T59" s="153">
        <f t="shared" si="25"/>
        <v>0</v>
      </c>
      <c r="U59" s="153">
        <f t="shared" si="6"/>
        <v>0</v>
      </c>
      <c r="V59" s="677">
        <f>IF(AND($P$56=2028,$X$5=TRUE),((S59*$P$24/30)+(T59*$V$24/30)+(U59*$Z$24/30))*100/102,
(S59*$P$24/30)+(T59*$V$24/30)+(U59*$Z$24/30))</f>
        <v>0</v>
      </c>
      <c r="W59" s="678"/>
      <c r="X59" s="155" t="str">
        <f t="shared" si="7"/>
        <v/>
      </c>
      <c r="Y59" s="156">
        <f t="shared" si="8"/>
        <v>0</v>
      </c>
      <c r="Z59" s="155">
        <f t="shared" si="26"/>
        <v>0</v>
      </c>
      <c r="AA59" s="156" t="e">
        <f t="shared" si="9"/>
        <v>#N/A</v>
      </c>
      <c r="AB59" s="156" t="e">
        <f t="shared" si="10"/>
        <v>#N/A</v>
      </c>
      <c r="AC59" s="156">
        <f t="shared" si="11"/>
        <v>0</v>
      </c>
      <c r="AD59" s="156" t="e">
        <f t="shared" si="27"/>
        <v>#N/A</v>
      </c>
      <c r="AE59" s="158"/>
      <c r="AF59" s="667" t="s">
        <v>14</v>
      </c>
      <c r="AG59" s="668"/>
      <c r="AH59" s="152">
        <f>EOMONTH(CONCATENATE("01.","01.",$AF$56),2)</f>
        <v>821</v>
      </c>
      <c r="AI59" s="153">
        <f t="shared" si="12"/>
        <v>0</v>
      </c>
      <c r="AJ59" s="153">
        <f t="shared" si="13"/>
        <v>0</v>
      </c>
      <c r="AK59" s="153">
        <f t="shared" si="14"/>
        <v>0</v>
      </c>
      <c r="AL59" s="677">
        <f t="shared" si="15"/>
        <v>0</v>
      </c>
      <c r="AM59" s="678"/>
      <c r="AN59" s="155" t="str">
        <f t="shared" si="16"/>
        <v/>
      </c>
      <c r="AO59" s="156">
        <f t="shared" si="17"/>
        <v>0</v>
      </c>
      <c r="AP59" s="155">
        <f t="shared" si="28"/>
        <v>0</v>
      </c>
      <c r="AQ59" s="156" t="e">
        <f t="shared" si="18"/>
        <v>#N/A</v>
      </c>
      <c r="AR59" s="156" t="e">
        <f t="shared" si="19"/>
        <v>#N/A</v>
      </c>
      <c r="AS59" s="156">
        <f t="shared" si="20"/>
        <v>0</v>
      </c>
      <c r="AT59" s="156" t="e">
        <f t="shared" si="29"/>
        <v>#N/A</v>
      </c>
    </row>
    <row r="60" spans="2:46" x14ac:dyDescent="0.35">
      <c r="B60" s="151" t="s">
        <v>15</v>
      </c>
      <c r="C60" s="152">
        <f>EOMONTH(CONCATENATE("01.","01.",$B$56),3)</f>
        <v>121</v>
      </c>
      <c r="D60" s="153" t="e">
        <f t="shared" si="0"/>
        <v>#VALUE!</v>
      </c>
      <c r="E60" s="153" t="e">
        <f t="shared" si="1"/>
        <v>#VALUE!</v>
      </c>
      <c r="F60" s="153">
        <f t="shared" si="21"/>
        <v>0</v>
      </c>
      <c r="G60" s="154" t="e">
        <f>IF(AND($B$56=2028,$X$5=TRUE),((D60*$J$24/30)+(E60*$L$24/30)+(F60*$N$24/30))*100/102,
(D60*$J$24/30)+(E60*$L$24/30)+(F60*$N$24/30))</f>
        <v>#VALUE!</v>
      </c>
      <c r="H60" s="155" t="e">
        <f t="shared" si="2"/>
        <v>#VALUE!</v>
      </c>
      <c r="I60" s="156" t="e">
        <f t="shared" ref="I60:I68" si="30">IF(AND($X$9=TRUE,G60&gt;0),(MZJahr1*$O$10),0)</f>
        <v>#VALUE!</v>
      </c>
      <c r="J60" s="155" t="e">
        <f t="shared" si="22"/>
        <v>#VALUE!</v>
      </c>
      <c r="K60" s="156" t="e">
        <f t="shared" si="3"/>
        <v>#VALUE!</v>
      </c>
      <c r="L60" s="156" t="e">
        <f t="shared" si="4"/>
        <v>#N/A</v>
      </c>
      <c r="M60" s="156" t="e">
        <f t="shared" si="5"/>
        <v>#VALUE!</v>
      </c>
      <c r="N60" s="156" t="e">
        <f t="shared" si="23"/>
        <v>#VALUE!</v>
      </c>
      <c r="O60" s="157"/>
      <c r="P60" s="667" t="s">
        <v>15</v>
      </c>
      <c r="Q60" s="668"/>
      <c r="R60" s="152">
        <f>EOMONTH(CONCATENATE("01.","01.",$P$56),3)</f>
        <v>486</v>
      </c>
      <c r="S60" s="153">
        <f t="shared" si="24"/>
        <v>0</v>
      </c>
      <c r="T60" s="153">
        <f t="shared" si="25"/>
        <v>0</v>
      </c>
      <c r="U60" s="153">
        <f t="shared" si="6"/>
        <v>0</v>
      </c>
      <c r="V60" s="677">
        <f>IF(AND($P$56=2028,$X$5=TRUE),((S60*$P$24/30)+(T60*$V$24/30)+(U60*$Z$24/30))*100/102,
(S60*$P$24/30)+(T60*$V$24/30)+(U60*$Z$24/30))</f>
        <v>0</v>
      </c>
      <c r="W60" s="678"/>
      <c r="X60" s="155" t="str">
        <f t="shared" si="7"/>
        <v/>
      </c>
      <c r="Y60" s="156">
        <f t="shared" si="8"/>
        <v>0</v>
      </c>
      <c r="Z60" s="155">
        <f t="shared" si="26"/>
        <v>0</v>
      </c>
      <c r="AA60" s="156" t="e">
        <f t="shared" si="9"/>
        <v>#N/A</v>
      </c>
      <c r="AB60" s="156" t="e">
        <f t="shared" si="10"/>
        <v>#N/A</v>
      </c>
      <c r="AC60" s="156">
        <f t="shared" si="11"/>
        <v>0</v>
      </c>
      <c r="AD60" s="156" t="e">
        <f t="shared" si="27"/>
        <v>#N/A</v>
      </c>
      <c r="AE60" s="158"/>
      <c r="AF60" s="667" t="s">
        <v>15</v>
      </c>
      <c r="AG60" s="668"/>
      <c r="AH60" s="152">
        <f>EOMONTH(CONCATENATE("01.","01.",$AF$56),3)</f>
        <v>851</v>
      </c>
      <c r="AI60" s="153">
        <f t="shared" si="12"/>
        <v>0</v>
      </c>
      <c r="AJ60" s="153">
        <f t="shared" si="13"/>
        <v>0</v>
      </c>
      <c r="AK60" s="153">
        <f t="shared" si="14"/>
        <v>0</v>
      </c>
      <c r="AL60" s="677">
        <f t="shared" si="15"/>
        <v>0</v>
      </c>
      <c r="AM60" s="678"/>
      <c r="AN60" s="155" t="str">
        <f t="shared" si="16"/>
        <v/>
      </c>
      <c r="AO60" s="156">
        <f t="shared" si="17"/>
        <v>0</v>
      </c>
      <c r="AP60" s="155">
        <f t="shared" si="28"/>
        <v>0</v>
      </c>
      <c r="AQ60" s="156" t="e">
        <f t="shared" si="18"/>
        <v>#N/A</v>
      </c>
      <c r="AR60" s="156" t="e">
        <f t="shared" si="19"/>
        <v>#N/A</v>
      </c>
      <c r="AS60" s="156">
        <f t="shared" si="20"/>
        <v>0</v>
      </c>
      <c r="AT60" s="156" t="e">
        <f t="shared" si="29"/>
        <v>#N/A</v>
      </c>
    </row>
    <row r="61" spans="2:46" x14ac:dyDescent="0.35">
      <c r="B61" s="151" t="s">
        <v>16</v>
      </c>
      <c r="C61" s="152">
        <f>EOMONTH(CONCATENATE("01.","01.",$B$56),4)</f>
        <v>152</v>
      </c>
      <c r="D61" s="153" t="e">
        <f t="shared" si="0"/>
        <v>#VALUE!</v>
      </c>
      <c r="E61" s="153" t="e">
        <f t="shared" si="1"/>
        <v>#VALUE!</v>
      </c>
      <c r="F61" s="153">
        <f t="shared" si="21"/>
        <v>0</v>
      </c>
      <c r="G61" s="154" t="e">
        <f>IF(AND($B$56=2028,$X$5=TRUE),((D61*$J$24/30)+(E61*$L$24/30)+(F61*$N$24/30))*100/102,
(D61*$J$24/30)+(E61*$L$24/30)+(F61*$N$24/30))</f>
        <v>#VALUE!</v>
      </c>
      <c r="H61" s="155" t="e">
        <f t="shared" si="2"/>
        <v>#VALUE!</v>
      </c>
      <c r="I61" s="156" t="e">
        <f t="shared" si="30"/>
        <v>#VALUE!</v>
      </c>
      <c r="J61" s="155" t="e">
        <f t="shared" si="22"/>
        <v>#VALUE!</v>
      </c>
      <c r="K61" s="156" t="e">
        <f t="shared" si="3"/>
        <v>#VALUE!</v>
      </c>
      <c r="L61" s="156" t="e">
        <f t="shared" si="4"/>
        <v>#N/A</v>
      </c>
      <c r="M61" s="156" t="e">
        <f t="shared" si="5"/>
        <v>#VALUE!</v>
      </c>
      <c r="N61" s="156" t="e">
        <f t="shared" si="23"/>
        <v>#VALUE!</v>
      </c>
      <c r="O61" s="157"/>
      <c r="P61" s="667" t="s">
        <v>16</v>
      </c>
      <c r="Q61" s="668"/>
      <c r="R61" s="152">
        <f>EOMONTH(CONCATENATE("01.","01.",$P$56),4)</f>
        <v>517</v>
      </c>
      <c r="S61" s="153">
        <f t="shared" si="24"/>
        <v>0</v>
      </c>
      <c r="T61" s="153">
        <f t="shared" si="25"/>
        <v>0</v>
      </c>
      <c r="U61" s="153">
        <f t="shared" si="6"/>
        <v>0</v>
      </c>
      <c r="V61" s="677">
        <f>IF(AND($P$56=2028,$X$5=TRUE),((S61*$P$24/30)+(T61*$V$24/30)+(U61*$Z$24/30))*100/102,
(S61*$P$24/30)+(T61*$V$24/30)+(U61*$Z$24/30))</f>
        <v>0</v>
      </c>
      <c r="W61" s="678"/>
      <c r="X61" s="155" t="str">
        <f t="shared" si="7"/>
        <v/>
      </c>
      <c r="Y61" s="156">
        <f t="shared" si="8"/>
        <v>0</v>
      </c>
      <c r="Z61" s="155">
        <f t="shared" si="26"/>
        <v>0</v>
      </c>
      <c r="AA61" s="156" t="e">
        <f t="shared" si="9"/>
        <v>#N/A</v>
      </c>
      <c r="AB61" s="156" t="e">
        <f t="shared" si="10"/>
        <v>#N/A</v>
      </c>
      <c r="AC61" s="156">
        <f t="shared" si="11"/>
        <v>0</v>
      </c>
      <c r="AD61" s="156" t="e">
        <f t="shared" si="27"/>
        <v>#N/A</v>
      </c>
      <c r="AE61" s="158"/>
      <c r="AF61" s="667" t="s">
        <v>16</v>
      </c>
      <c r="AG61" s="668"/>
      <c r="AH61" s="152">
        <f>EOMONTH(CONCATENATE("01.","01.",$AF$56),4)</f>
        <v>882</v>
      </c>
      <c r="AI61" s="153">
        <f t="shared" si="12"/>
        <v>0</v>
      </c>
      <c r="AJ61" s="153">
        <f t="shared" si="13"/>
        <v>0</v>
      </c>
      <c r="AK61" s="153">
        <f t="shared" si="14"/>
        <v>0</v>
      </c>
      <c r="AL61" s="677">
        <f t="shared" si="15"/>
        <v>0</v>
      </c>
      <c r="AM61" s="678"/>
      <c r="AN61" s="155" t="str">
        <f t="shared" si="16"/>
        <v/>
      </c>
      <c r="AO61" s="156">
        <f t="shared" si="17"/>
        <v>0</v>
      </c>
      <c r="AP61" s="155">
        <f t="shared" si="28"/>
        <v>0</v>
      </c>
      <c r="AQ61" s="156" t="e">
        <f t="shared" si="18"/>
        <v>#N/A</v>
      </c>
      <c r="AR61" s="156" t="e">
        <f t="shared" si="19"/>
        <v>#N/A</v>
      </c>
      <c r="AS61" s="156">
        <f t="shared" si="20"/>
        <v>0</v>
      </c>
      <c r="AT61" s="156" t="e">
        <f t="shared" si="29"/>
        <v>#N/A</v>
      </c>
    </row>
    <row r="62" spans="2:46" x14ac:dyDescent="0.35">
      <c r="B62" s="151" t="s">
        <v>17</v>
      </c>
      <c r="C62" s="152">
        <f>EOMONTH(CONCATENATE("01.","01.",$B$56),5)</f>
        <v>182</v>
      </c>
      <c r="D62" s="153" t="e">
        <f t="shared" si="0"/>
        <v>#VALUE!</v>
      </c>
      <c r="E62" s="153" t="e">
        <f t="shared" si="1"/>
        <v>#VALUE!</v>
      </c>
      <c r="F62" s="153">
        <f t="shared" si="21"/>
        <v>0</v>
      </c>
      <c r="G62" s="154" t="e">
        <f>IF(AND($B$56=2028,$X$5=TRUE),((D62*$J$24/30)+(E62*$L$24/30)+(F62*$N$24/30))*100/102,
(D62*$J$24/30)+(E62*$L$24/30)+(F62*$N$24/30))</f>
        <v>#VALUE!</v>
      </c>
      <c r="H62" s="155" t="e">
        <f t="shared" si="2"/>
        <v>#VALUE!</v>
      </c>
      <c r="I62" s="156" t="e">
        <f t="shared" si="30"/>
        <v>#VALUE!</v>
      </c>
      <c r="J62" s="155" t="e">
        <f t="shared" si="22"/>
        <v>#VALUE!</v>
      </c>
      <c r="K62" s="156" t="e">
        <f t="shared" si="3"/>
        <v>#VALUE!</v>
      </c>
      <c r="L62" s="156" t="e">
        <f t="shared" si="4"/>
        <v>#N/A</v>
      </c>
      <c r="M62" s="156" t="e">
        <f t="shared" si="5"/>
        <v>#VALUE!</v>
      </c>
      <c r="N62" s="156" t="e">
        <f t="shared" si="23"/>
        <v>#VALUE!</v>
      </c>
      <c r="O62" s="157"/>
      <c r="P62" s="667" t="s">
        <v>17</v>
      </c>
      <c r="Q62" s="668"/>
      <c r="R62" s="152">
        <f>EOMONTH(CONCATENATE("01.","01.",$P$56),5)</f>
        <v>547</v>
      </c>
      <c r="S62" s="153">
        <f t="shared" si="24"/>
        <v>0</v>
      </c>
      <c r="T62" s="153">
        <f t="shared" si="25"/>
        <v>0</v>
      </c>
      <c r="U62" s="153">
        <f t="shared" si="6"/>
        <v>0</v>
      </c>
      <c r="V62" s="677">
        <f>IF(AND($P$56=2028,$X$5=TRUE),((S62*$P$24/30)+(T62*$V$24/30)+(U62*$Z$24/30))*100/102,
(S62*$P$24/30)+(T62*$V$24/30)+(U62*$Z$24/30))</f>
        <v>0</v>
      </c>
      <c r="W62" s="678"/>
      <c r="X62" s="155" t="str">
        <f t="shared" si="7"/>
        <v/>
      </c>
      <c r="Y62" s="156">
        <f t="shared" si="8"/>
        <v>0</v>
      </c>
      <c r="Z62" s="155">
        <f t="shared" si="26"/>
        <v>0</v>
      </c>
      <c r="AA62" s="156" t="e">
        <f t="shared" si="9"/>
        <v>#N/A</v>
      </c>
      <c r="AB62" s="156" t="e">
        <f t="shared" si="10"/>
        <v>#N/A</v>
      </c>
      <c r="AC62" s="156">
        <f t="shared" si="11"/>
        <v>0</v>
      </c>
      <c r="AD62" s="156" t="e">
        <f t="shared" si="27"/>
        <v>#N/A</v>
      </c>
      <c r="AE62" s="158"/>
      <c r="AF62" s="667" t="s">
        <v>17</v>
      </c>
      <c r="AG62" s="668"/>
      <c r="AH62" s="152">
        <f>EOMONTH(CONCATENATE("01.","01.",$AF$56),5)</f>
        <v>912</v>
      </c>
      <c r="AI62" s="153">
        <f t="shared" si="12"/>
        <v>0</v>
      </c>
      <c r="AJ62" s="153">
        <f t="shared" si="13"/>
        <v>0</v>
      </c>
      <c r="AK62" s="153">
        <f t="shared" si="14"/>
        <v>0</v>
      </c>
      <c r="AL62" s="677">
        <f t="shared" si="15"/>
        <v>0</v>
      </c>
      <c r="AM62" s="678"/>
      <c r="AN62" s="155" t="str">
        <f t="shared" si="16"/>
        <v/>
      </c>
      <c r="AO62" s="156">
        <f t="shared" si="17"/>
        <v>0</v>
      </c>
      <c r="AP62" s="155">
        <f t="shared" si="28"/>
        <v>0</v>
      </c>
      <c r="AQ62" s="156" t="e">
        <f t="shared" si="18"/>
        <v>#N/A</v>
      </c>
      <c r="AR62" s="156" t="e">
        <f t="shared" si="19"/>
        <v>#N/A</v>
      </c>
      <c r="AS62" s="156">
        <f t="shared" si="20"/>
        <v>0</v>
      </c>
      <c r="AT62" s="156" t="e">
        <f t="shared" si="29"/>
        <v>#N/A</v>
      </c>
    </row>
    <row r="63" spans="2:46" x14ac:dyDescent="0.35">
      <c r="B63" s="151" t="s">
        <v>18</v>
      </c>
      <c r="C63" s="152">
        <f>EOMONTH(CONCATENATE("01.","01.",$B$56),6)</f>
        <v>213</v>
      </c>
      <c r="D63" s="153" t="e">
        <f t="shared" si="0"/>
        <v>#VALUE!</v>
      </c>
      <c r="E63" s="153" t="e">
        <f t="shared" si="1"/>
        <v>#VALUE!</v>
      </c>
      <c r="F63" s="153">
        <f t="shared" si="21"/>
        <v>0</v>
      </c>
      <c r="G63" s="154" t="e">
        <f t="shared" ref="G63:G68" si="31">(D63*$J$24/30)+(E63*$L$24/30)+(F63*$N$24/30)</f>
        <v>#VALUE!</v>
      </c>
      <c r="H63" s="155" t="e">
        <f t="shared" si="2"/>
        <v>#VALUE!</v>
      </c>
      <c r="I63" s="156" t="e">
        <f t="shared" si="30"/>
        <v>#VALUE!</v>
      </c>
      <c r="J63" s="155" t="e">
        <f t="shared" si="22"/>
        <v>#VALUE!</v>
      </c>
      <c r="K63" s="156" t="e">
        <f t="shared" si="3"/>
        <v>#VALUE!</v>
      </c>
      <c r="L63" s="156" t="e">
        <f t="shared" si="4"/>
        <v>#N/A</v>
      </c>
      <c r="M63" s="156" t="e">
        <f t="shared" si="5"/>
        <v>#VALUE!</v>
      </c>
      <c r="N63" s="156" t="e">
        <f t="shared" si="23"/>
        <v>#VALUE!</v>
      </c>
      <c r="O63" s="157"/>
      <c r="P63" s="667" t="s">
        <v>18</v>
      </c>
      <c r="Q63" s="668"/>
      <c r="R63" s="152">
        <f>EOMONTH(CONCATENATE("01.","01.",$P$56),6)</f>
        <v>578</v>
      </c>
      <c r="S63" s="153">
        <f t="shared" si="24"/>
        <v>0</v>
      </c>
      <c r="T63" s="153">
        <f t="shared" si="25"/>
        <v>0</v>
      </c>
      <c r="U63" s="153">
        <f t="shared" si="6"/>
        <v>0</v>
      </c>
      <c r="V63" s="677">
        <f t="shared" ref="V63:V66" si="32">(S63*$P$24/30)+(T63*$V$24/30)+(U63*$Z$24/30)</f>
        <v>0</v>
      </c>
      <c r="W63" s="678"/>
      <c r="X63" s="155" t="str">
        <f t="shared" si="7"/>
        <v/>
      </c>
      <c r="Y63" s="156">
        <f t="shared" si="8"/>
        <v>0</v>
      </c>
      <c r="Z63" s="155">
        <f t="shared" si="26"/>
        <v>0</v>
      </c>
      <c r="AA63" s="156" t="e">
        <f t="shared" si="9"/>
        <v>#N/A</v>
      </c>
      <c r="AB63" s="156" t="e">
        <f t="shared" si="10"/>
        <v>#N/A</v>
      </c>
      <c r="AC63" s="156">
        <f t="shared" si="11"/>
        <v>0</v>
      </c>
      <c r="AD63" s="156" t="e">
        <f t="shared" si="27"/>
        <v>#N/A</v>
      </c>
      <c r="AE63" s="158"/>
      <c r="AF63" s="667" t="s">
        <v>18</v>
      </c>
      <c r="AG63" s="668"/>
      <c r="AH63" s="152">
        <f>EOMONTH(CONCATENATE("01.","01.",$AF$56),6)</f>
        <v>943</v>
      </c>
      <c r="AI63" s="153">
        <f t="shared" si="12"/>
        <v>0</v>
      </c>
      <c r="AJ63" s="153">
        <f t="shared" si="13"/>
        <v>0</v>
      </c>
      <c r="AK63" s="153">
        <f t="shared" si="14"/>
        <v>0</v>
      </c>
      <c r="AL63" s="677">
        <f t="shared" ref="AL63:AL68" si="33">(AI63*$AB$24/30)+(AJ63*$AD$24/30)+(AK63*$AF$24/30)</f>
        <v>0</v>
      </c>
      <c r="AM63" s="678"/>
      <c r="AN63" s="155" t="str">
        <f t="shared" si="16"/>
        <v/>
      </c>
      <c r="AO63" s="156">
        <f t="shared" si="17"/>
        <v>0</v>
      </c>
      <c r="AP63" s="155">
        <f t="shared" si="28"/>
        <v>0</v>
      </c>
      <c r="AQ63" s="156" t="e">
        <f t="shared" si="18"/>
        <v>#N/A</v>
      </c>
      <c r="AR63" s="156" t="e">
        <f t="shared" si="19"/>
        <v>#N/A</v>
      </c>
      <c r="AS63" s="156">
        <f t="shared" si="20"/>
        <v>0</v>
      </c>
      <c r="AT63" s="156" t="e">
        <f t="shared" si="29"/>
        <v>#N/A</v>
      </c>
    </row>
    <row r="64" spans="2:46" x14ac:dyDescent="0.35">
      <c r="B64" s="151" t="s">
        <v>19</v>
      </c>
      <c r="C64" s="152">
        <f>EOMONTH(CONCATENATE("01.","01.",$B$56),7)</f>
        <v>244</v>
      </c>
      <c r="D64" s="153" t="e">
        <f t="shared" si="0"/>
        <v>#VALUE!</v>
      </c>
      <c r="E64" s="153" t="e">
        <f t="shared" si="1"/>
        <v>#VALUE!</v>
      </c>
      <c r="F64" s="153">
        <f t="shared" si="21"/>
        <v>0</v>
      </c>
      <c r="G64" s="154" t="e">
        <f t="shared" si="31"/>
        <v>#VALUE!</v>
      </c>
      <c r="H64" s="155" t="e">
        <f t="shared" si="2"/>
        <v>#VALUE!</v>
      </c>
      <c r="I64" s="156" t="e">
        <f t="shared" si="30"/>
        <v>#VALUE!</v>
      </c>
      <c r="J64" s="155" t="e">
        <f t="shared" si="22"/>
        <v>#VALUE!</v>
      </c>
      <c r="K64" s="156" t="e">
        <f t="shared" si="3"/>
        <v>#VALUE!</v>
      </c>
      <c r="L64" s="156" t="e">
        <f t="shared" si="4"/>
        <v>#N/A</v>
      </c>
      <c r="M64" s="156" t="e">
        <f t="shared" si="5"/>
        <v>#VALUE!</v>
      </c>
      <c r="N64" s="156" t="e">
        <f t="shared" si="23"/>
        <v>#VALUE!</v>
      </c>
      <c r="O64" s="157"/>
      <c r="P64" s="667" t="s">
        <v>19</v>
      </c>
      <c r="Q64" s="668"/>
      <c r="R64" s="152">
        <f>EOMONTH(CONCATENATE("01.","01.",$P$56),7)</f>
        <v>609</v>
      </c>
      <c r="S64" s="153">
        <f t="shared" si="24"/>
        <v>0</v>
      </c>
      <c r="T64" s="153">
        <f t="shared" si="25"/>
        <v>0</v>
      </c>
      <c r="U64" s="153">
        <f t="shared" si="6"/>
        <v>0</v>
      </c>
      <c r="V64" s="677">
        <f t="shared" si="32"/>
        <v>0</v>
      </c>
      <c r="W64" s="678"/>
      <c r="X64" s="155" t="str">
        <f t="shared" si="7"/>
        <v/>
      </c>
      <c r="Y64" s="156">
        <f t="shared" si="8"/>
        <v>0</v>
      </c>
      <c r="Z64" s="155">
        <f t="shared" si="26"/>
        <v>0</v>
      </c>
      <c r="AA64" s="156" t="e">
        <f t="shared" si="9"/>
        <v>#N/A</v>
      </c>
      <c r="AB64" s="156" t="e">
        <f t="shared" si="10"/>
        <v>#N/A</v>
      </c>
      <c r="AC64" s="156">
        <f t="shared" si="11"/>
        <v>0</v>
      </c>
      <c r="AD64" s="156" t="e">
        <f t="shared" si="27"/>
        <v>#N/A</v>
      </c>
      <c r="AE64" s="158"/>
      <c r="AF64" s="667" t="s">
        <v>19</v>
      </c>
      <c r="AG64" s="668"/>
      <c r="AH64" s="152">
        <f>EOMONTH(CONCATENATE("01.","01.",$AF$56),7)</f>
        <v>974</v>
      </c>
      <c r="AI64" s="153">
        <f t="shared" si="12"/>
        <v>0</v>
      </c>
      <c r="AJ64" s="153">
        <f t="shared" si="13"/>
        <v>0</v>
      </c>
      <c r="AK64" s="153">
        <f t="shared" si="14"/>
        <v>0</v>
      </c>
      <c r="AL64" s="677">
        <f t="shared" si="33"/>
        <v>0</v>
      </c>
      <c r="AM64" s="678"/>
      <c r="AN64" s="155" t="str">
        <f t="shared" si="16"/>
        <v/>
      </c>
      <c r="AO64" s="156">
        <f t="shared" si="17"/>
        <v>0</v>
      </c>
      <c r="AP64" s="155">
        <f t="shared" si="28"/>
        <v>0</v>
      </c>
      <c r="AQ64" s="156" t="e">
        <f t="shared" si="18"/>
        <v>#N/A</v>
      </c>
      <c r="AR64" s="156" t="e">
        <f t="shared" si="19"/>
        <v>#N/A</v>
      </c>
      <c r="AS64" s="156">
        <f t="shared" si="20"/>
        <v>0</v>
      </c>
      <c r="AT64" s="156" t="e">
        <f t="shared" si="29"/>
        <v>#N/A</v>
      </c>
    </row>
    <row r="65" spans="2:47" x14ac:dyDescent="0.35">
      <c r="B65" s="151" t="s">
        <v>20</v>
      </c>
      <c r="C65" s="152">
        <f>EOMONTH(CONCATENATE("01.","01.",$B$56),8)</f>
        <v>274</v>
      </c>
      <c r="D65" s="153" t="e">
        <f t="shared" si="0"/>
        <v>#VALUE!</v>
      </c>
      <c r="E65" s="153" t="e">
        <f t="shared" si="1"/>
        <v>#VALUE!</v>
      </c>
      <c r="F65" s="153">
        <f t="shared" si="21"/>
        <v>0</v>
      </c>
      <c r="G65" s="154" t="e">
        <f t="shared" si="31"/>
        <v>#VALUE!</v>
      </c>
      <c r="H65" s="155" t="e">
        <f t="shared" si="2"/>
        <v>#VALUE!</v>
      </c>
      <c r="I65" s="156" t="e">
        <f t="shared" si="30"/>
        <v>#VALUE!</v>
      </c>
      <c r="J65" s="155" t="e">
        <f t="shared" si="22"/>
        <v>#VALUE!</v>
      </c>
      <c r="K65" s="156" t="e">
        <f t="shared" si="3"/>
        <v>#VALUE!</v>
      </c>
      <c r="L65" s="156" t="e">
        <f t="shared" si="4"/>
        <v>#N/A</v>
      </c>
      <c r="M65" s="156" t="e">
        <f t="shared" si="5"/>
        <v>#VALUE!</v>
      </c>
      <c r="N65" s="156" t="e">
        <f t="shared" si="23"/>
        <v>#VALUE!</v>
      </c>
      <c r="O65" s="157"/>
      <c r="P65" s="667" t="s">
        <v>20</v>
      </c>
      <c r="Q65" s="668"/>
      <c r="R65" s="152">
        <f>EOMONTH(CONCATENATE("01.","01.",$P$56),8)</f>
        <v>639</v>
      </c>
      <c r="S65" s="153">
        <f t="shared" si="24"/>
        <v>0</v>
      </c>
      <c r="T65" s="153">
        <f t="shared" si="25"/>
        <v>0</v>
      </c>
      <c r="U65" s="153">
        <f t="shared" si="6"/>
        <v>0</v>
      </c>
      <c r="V65" s="677">
        <f t="shared" si="32"/>
        <v>0</v>
      </c>
      <c r="W65" s="678"/>
      <c r="X65" s="155" t="str">
        <f t="shared" ref="X65:X68" si="34">IF(AND(SUM(S65:U65)=30,U65&gt;0),$Z$24*$Z$28,IF(AND(SUM(S65:U65)=30,T65&gt;0),$V$24*$V$28,IF(AND(SUM(S65:U65)=30,S65&gt;0),$P$24*$P$28,"")))</f>
        <v/>
      </c>
      <c r="Y65" s="156">
        <f t="shared" si="8"/>
        <v>0</v>
      </c>
      <c r="Z65" s="155">
        <f t="shared" si="26"/>
        <v>0</v>
      </c>
      <c r="AA65" s="156" t="e">
        <f t="shared" si="9"/>
        <v>#N/A</v>
      </c>
      <c r="AB65" s="156" t="e">
        <f t="shared" si="10"/>
        <v>#N/A</v>
      </c>
      <c r="AC65" s="156">
        <f t="shared" si="11"/>
        <v>0</v>
      </c>
      <c r="AD65" s="156" t="e">
        <f t="shared" si="27"/>
        <v>#N/A</v>
      </c>
      <c r="AE65" s="158"/>
      <c r="AF65" s="667" t="s">
        <v>20</v>
      </c>
      <c r="AG65" s="668"/>
      <c r="AH65" s="152">
        <f>EOMONTH(CONCATENATE("01.","01.",$AF$56),8)</f>
        <v>1004</v>
      </c>
      <c r="AI65" s="153">
        <f t="shared" si="12"/>
        <v>0</v>
      </c>
      <c r="AJ65" s="153">
        <f t="shared" si="13"/>
        <v>0</v>
      </c>
      <c r="AK65" s="153">
        <f t="shared" si="14"/>
        <v>0</v>
      </c>
      <c r="AL65" s="677">
        <f t="shared" si="33"/>
        <v>0</v>
      </c>
      <c r="AM65" s="678"/>
      <c r="AN65" s="155" t="str">
        <f t="shared" si="16"/>
        <v/>
      </c>
      <c r="AO65" s="156">
        <f t="shared" si="17"/>
        <v>0</v>
      </c>
      <c r="AP65" s="155">
        <f t="shared" si="28"/>
        <v>0</v>
      </c>
      <c r="AQ65" s="156" t="e">
        <f t="shared" si="18"/>
        <v>#N/A</v>
      </c>
      <c r="AR65" s="156" t="e">
        <f t="shared" si="19"/>
        <v>#N/A</v>
      </c>
      <c r="AS65" s="156">
        <f t="shared" si="20"/>
        <v>0</v>
      </c>
      <c r="AT65" s="156" t="e">
        <f t="shared" si="29"/>
        <v>#N/A</v>
      </c>
    </row>
    <row r="66" spans="2:47" x14ac:dyDescent="0.35">
      <c r="B66" s="151" t="s">
        <v>21</v>
      </c>
      <c r="C66" s="152">
        <f>EOMONTH(CONCATENATE("01.","01.",$B$56),9)</f>
        <v>305</v>
      </c>
      <c r="D66" s="153" t="e">
        <f t="shared" si="0"/>
        <v>#VALUE!</v>
      </c>
      <c r="E66" s="153" t="e">
        <f t="shared" si="1"/>
        <v>#VALUE!</v>
      </c>
      <c r="F66" s="153">
        <f t="shared" si="21"/>
        <v>0</v>
      </c>
      <c r="G66" s="154" t="e">
        <f t="shared" si="31"/>
        <v>#VALUE!</v>
      </c>
      <c r="H66" s="155" t="e">
        <f t="shared" si="2"/>
        <v>#VALUE!</v>
      </c>
      <c r="I66" s="156" t="e">
        <f t="shared" si="30"/>
        <v>#VALUE!</v>
      </c>
      <c r="J66" s="155" t="e">
        <f t="shared" si="22"/>
        <v>#VALUE!</v>
      </c>
      <c r="K66" s="156" t="e">
        <f t="shared" si="3"/>
        <v>#VALUE!</v>
      </c>
      <c r="L66" s="156" t="e">
        <f t="shared" si="4"/>
        <v>#N/A</v>
      </c>
      <c r="M66" s="156" t="e">
        <f t="shared" si="5"/>
        <v>#VALUE!</v>
      </c>
      <c r="N66" s="156" t="e">
        <f t="shared" si="23"/>
        <v>#VALUE!</v>
      </c>
      <c r="O66" s="157"/>
      <c r="P66" s="667" t="s">
        <v>21</v>
      </c>
      <c r="Q66" s="668"/>
      <c r="R66" s="152">
        <f>EOMONTH(CONCATENATE("01.","01.",$P$56),9)</f>
        <v>670</v>
      </c>
      <c r="S66" s="153">
        <f t="shared" si="24"/>
        <v>0</v>
      </c>
      <c r="T66" s="153">
        <f t="shared" si="25"/>
        <v>0</v>
      </c>
      <c r="U66" s="153">
        <f t="shared" si="6"/>
        <v>0</v>
      </c>
      <c r="V66" s="677">
        <f t="shared" si="32"/>
        <v>0</v>
      </c>
      <c r="W66" s="678"/>
      <c r="X66" s="155" t="str">
        <f t="shared" si="34"/>
        <v/>
      </c>
      <c r="Y66" s="156">
        <f t="shared" si="8"/>
        <v>0</v>
      </c>
      <c r="Z66" s="155">
        <f t="shared" si="26"/>
        <v>0</v>
      </c>
      <c r="AA66" s="156" t="e">
        <f t="shared" si="9"/>
        <v>#N/A</v>
      </c>
      <c r="AB66" s="156" t="e">
        <f t="shared" si="10"/>
        <v>#N/A</v>
      </c>
      <c r="AC66" s="156">
        <f t="shared" si="11"/>
        <v>0</v>
      </c>
      <c r="AD66" s="156" t="e">
        <f t="shared" si="27"/>
        <v>#N/A</v>
      </c>
      <c r="AE66" s="158"/>
      <c r="AF66" s="667" t="s">
        <v>21</v>
      </c>
      <c r="AG66" s="668"/>
      <c r="AH66" s="152">
        <f>EOMONTH(CONCATENATE("01.","01.",$AF$56),9)</f>
        <v>1035</v>
      </c>
      <c r="AI66" s="153">
        <f t="shared" si="12"/>
        <v>0</v>
      </c>
      <c r="AJ66" s="153">
        <f t="shared" si="13"/>
        <v>0</v>
      </c>
      <c r="AK66" s="153">
        <f t="shared" si="14"/>
        <v>0</v>
      </c>
      <c r="AL66" s="677">
        <f t="shared" si="33"/>
        <v>0</v>
      </c>
      <c r="AM66" s="678"/>
      <c r="AN66" s="155" t="str">
        <f t="shared" si="16"/>
        <v/>
      </c>
      <c r="AO66" s="156">
        <f t="shared" si="17"/>
        <v>0</v>
      </c>
      <c r="AP66" s="155">
        <f t="shared" si="28"/>
        <v>0</v>
      </c>
      <c r="AQ66" s="156" t="e">
        <f t="shared" si="18"/>
        <v>#N/A</v>
      </c>
      <c r="AR66" s="156" t="e">
        <f t="shared" si="19"/>
        <v>#N/A</v>
      </c>
      <c r="AS66" s="156">
        <f t="shared" si="20"/>
        <v>0</v>
      </c>
      <c r="AT66" s="156" t="e">
        <f t="shared" si="29"/>
        <v>#N/A</v>
      </c>
    </row>
    <row r="67" spans="2:47" x14ac:dyDescent="0.35">
      <c r="B67" s="151" t="s">
        <v>22</v>
      </c>
      <c r="C67" s="152">
        <f>EOMONTH(CONCATENATE("01.","01.",$B$56),10)</f>
        <v>335</v>
      </c>
      <c r="D67" s="153" t="e">
        <f t="shared" si="0"/>
        <v>#VALUE!</v>
      </c>
      <c r="E67" s="153" t="e">
        <f t="shared" si="1"/>
        <v>#VALUE!</v>
      </c>
      <c r="F67" s="153">
        <f t="shared" si="21"/>
        <v>0</v>
      </c>
      <c r="G67" s="154" t="e">
        <f t="shared" si="31"/>
        <v>#VALUE!</v>
      </c>
      <c r="H67" s="155" t="e">
        <f t="shared" si="2"/>
        <v>#VALUE!</v>
      </c>
      <c r="I67" s="156" t="e">
        <f t="shared" si="30"/>
        <v>#VALUE!</v>
      </c>
      <c r="J67" s="155" t="e">
        <f t="shared" si="22"/>
        <v>#VALUE!</v>
      </c>
      <c r="K67" s="156" t="e">
        <f t="shared" si="3"/>
        <v>#VALUE!</v>
      </c>
      <c r="L67" s="156" t="e">
        <f t="shared" si="4"/>
        <v>#N/A</v>
      </c>
      <c r="M67" s="156" t="e">
        <f t="shared" si="5"/>
        <v>#VALUE!</v>
      </c>
      <c r="N67" s="156" t="e">
        <f t="shared" si="23"/>
        <v>#VALUE!</v>
      </c>
      <c r="O67" s="157"/>
      <c r="P67" s="667" t="s">
        <v>22</v>
      </c>
      <c r="Q67" s="668"/>
      <c r="R67" s="152">
        <f>EOMONTH(CONCATENATE("01.","01.",$P$56),10)</f>
        <v>700</v>
      </c>
      <c r="S67" s="153">
        <f t="shared" si="24"/>
        <v>0</v>
      </c>
      <c r="T67" s="153">
        <f t="shared" si="25"/>
        <v>0</v>
      </c>
      <c r="U67" s="153">
        <f t="shared" si="6"/>
        <v>0</v>
      </c>
      <c r="V67" s="677">
        <f t="shared" ref="V67:V68" si="35">(S67*$P$24/30)+(T67*$V$24/30)+(U67*$Z$24/30)</f>
        <v>0</v>
      </c>
      <c r="W67" s="678"/>
      <c r="X67" s="155" t="str">
        <f t="shared" si="34"/>
        <v/>
      </c>
      <c r="Y67" s="156">
        <f t="shared" si="8"/>
        <v>0</v>
      </c>
      <c r="Z67" s="155">
        <f t="shared" si="26"/>
        <v>0</v>
      </c>
      <c r="AA67" s="156" t="e">
        <f t="shared" si="9"/>
        <v>#N/A</v>
      </c>
      <c r="AB67" s="156" t="e">
        <f t="shared" si="10"/>
        <v>#N/A</v>
      </c>
      <c r="AC67" s="156">
        <f t="shared" si="11"/>
        <v>0</v>
      </c>
      <c r="AD67" s="156" t="e">
        <f t="shared" si="27"/>
        <v>#N/A</v>
      </c>
      <c r="AE67" s="158"/>
      <c r="AF67" s="667" t="s">
        <v>22</v>
      </c>
      <c r="AG67" s="668"/>
      <c r="AH67" s="152">
        <f>EOMONTH(CONCATENATE("01.","01.",$AF$56),10)</f>
        <v>1065</v>
      </c>
      <c r="AI67" s="153">
        <f t="shared" si="12"/>
        <v>0</v>
      </c>
      <c r="AJ67" s="153">
        <f t="shared" si="13"/>
        <v>0</v>
      </c>
      <c r="AK67" s="153">
        <f t="shared" si="14"/>
        <v>0</v>
      </c>
      <c r="AL67" s="677">
        <f t="shared" si="33"/>
        <v>0</v>
      </c>
      <c r="AM67" s="678"/>
      <c r="AN67" s="155" t="str">
        <f t="shared" si="16"/>
        <v/>
      </c>
      <c r="AO67" s="156">
        <f t="shared" si="17"/>
        <v>0</v>
      </c>
      <c r="AP67" s="155">
        <f t="shared" si="28"/>
        <v>0</v>
      </c>
      <c r="AQ67" s="156" t="e">
        <f t="shared" si="18"/>
        <v>#N/A</v>
      </c>
      <c r="AR67" s="156" t="e">
        <f t="shared" si="19"/>
        <v>#N/A</v>
      </c>
      <c r="AS67" s="156">
        <f t="shared" si="20"/>
        <v>0</v>
      </c>
      <c r="AT67" s="156" t="e">
        <f t="shared" si="29"/>
        <v>#N/A</v>
      </c>
    </row>
    <row r="68" spans="2:47" ht="16.5" thickBot="1" x14ac:dyDescent="0.4">
      <c r="B68" s="151" t="s">
        <v>23</v>
      </c>
      <c r="C68" s="152">
        <f>EOMONTH(CONCATENATE("01.","01.",$B$56),11)</f>
        <v>366</v>
      </c>
      <c r="D68" s="153" t="e">
        <f t="shared" si="0"/>
        <v>#VALUE!</v>
      </c>
      <c r="E68" s="153" t="e">
        <f t="shared" si="1"/>
        <v>#VALUE!</v>
      </c>
      <c r="F68" s="153">
        <f t="shared" si="21"/>
        <v>0</v>
      </c>
      <c r="G68" s="154" t="e">
        <f t="shared" si="31"/>
        <v>#VALUE!</v>
      </c>
      <c r="H68" s="155" t="e">
        <f t="shared" si="2"/>
        <v>#VALUE!</v>
      </c>
      <c r="I68" s="156" t="e">
        <f t="shared" si="30"/>
        <v>#VALUE!</v>
      </c>
      <c r="J68" s="155" t="e">
        <f t="shared" si="22"/>
        <v>#VALUE!</v>
      </c>
      <c r="K68" s="156" t="e">
        <f t="shared" si="3"/>
        <v>#VALUE!</v>
      </c>
      <c r="L68" s="156" t="e">
        <f t="shared" si="4"/>
        <v>#N/A</v>
      </c>
      <c r="M68" s="156" t="e">
        <f t="shared" si="5"/>
        <v>#VALUE!</v>
      </c>
      <c r="N68" s="156" t="e">
        <f t="shared" si="23"/>
        <v>#VALUE!</v>
      </c>
      <c r="O68" s="157"/>
      <c r="P68" s="667" t="s">
        <v>23</v>
      </c>
      <c r="Q68" s="668"/>
      <c r="R68" s="152">
        <f>EOMONTH(CONCATENATE("01.","01.",$P$56),11)</f>
        <v>731</v>
      </c>
      <c r="S68" s="153">
        <f t="shared" si="24"/>
        <v>0</v>
      </c>
      <c r="T68" s="153">
        <f t="shared" si="25"/>
        <v>0</v>
      </c>
      <c r="U68" s="153">
        <f t="shared" si="6"/>
        <v>0</v>
      </c>
      <c r="V68" s="677">
        <f t="shared" si="35"/>
        <v>0</v>
      </c>
      <c r="W68" s="678"/>
      <c r="X68" s="155" t="str">
        <f t="shared" si="34"/>
        <v/>
      </c>
      <c r="Y68" s="156">
        <f t="shared" si="8"/>
        <v>0</v>
      </c>
      <c r="Z68" s="155">
        <f t="shared" si="26"/>
        <v>0</v>
      </c>
      <c r="AA68" s="156" t="e">
        <f t="shared" si="9"/>
        <v>#N/A</v>
      </c>
      <c r="AB68" s="156" t="e">
        <f t="shared" si="10"/>
        <v>#N/A</v>
      </c>
      <c r="AC68" s="156">
        <f t="shared" si="11"/>
        <v>0</v>
      </c>
      <c r="AD68" s="156" t="e">
        <f t="shared" si="27"/>
        <v>#N/A</v>
      </c>
      <c r="AF68" s="667" t="s">
        <v>23</v>
      </c>
      <c r="AG68" s="668"/>
      <c r="AH68" s="152">
        <f>EOMONTH(CONCATENATE("01.","01.",$AF$56),11)</f>
        <v>1096</v>
      </c>
      <c r="AI68" s="153">
        <f t="shared" si="12"/>
        <v>0</v>
      </c>
      <c r="AJ68" s="153">
        <f t="shared" si="13"/>
        <v>0</v>
      </c>
      <c r="AK68" s="153">
        <f t="shared" si="14"/>
        <v>0</v>
      </c>
      <c r="AL68" s="677">
        <f t="shared" si="33"/>
        <v>0</v>
      </c>
      <c r="AM68" s="678"/>
      <c r="AN68" s="155" t="str">
        <f t="shared" si="16"/>
        <v/>
      </c>
      <c r="AO68" s="156">
        <f t="shared" si="17"/>
        <v>0</v>
      </c>
      <c r="AP68" s="155">
        <f t="shared" si="28"/>
        <v>0</v>
      </c>
      <c r="AQ68" s="156" t="e">
        <f t="shared" si="18"/>
        <v>#N/A</v>
      </c>
      <c r="AR68" s="156" t="e">
        <f t="shared" si="19"/>
        <v>#N/A</v>
      </c>
      <c r="AS68" s="156">
        <f t="shared" si="20"/>
        <v>0</v>
      </c>
      <c r="AT68" s="156" t="e">
        <f t="shared" si="29"/>
        <v>#N/A</v>
      </c>
    </row>
    <row r="69" spans="2:47" ht="16.5" thickBot="1" x14ac:dyDescent="0.4">
      <c r="B69" s="159" t="s">
        <v>24</v>
      </c>
      <c r="C69" s="159"/>
      <c r="D69" s="159"/>
      <c r="E69" s="159"/>
      <c r="F69" s="159"/>
      <c r="G69" s="160" t="e">
        <f>SUM(G57:G68)</f>
        <v>#VALUE!</v>
      </c>
      <c r="H69" s="161"/>
      <c r="I69" s="161" t="e">
        <f t="shared" ref="I69" si="36">SUM(I57:I68)</f>
        <v>#VALUE!</v>
      </c>
      <c r="J69" s="161" t="e">
        <f>SUM(J57:J68)</f>
        <v>#VALUE!</v>
      </c>
      <c r="K69" s="161" t="e">
        <f t="shared" ref="K69:N69" si="37">SUM(K57:K68)</f>
        <v>#VALUE!</v>
      </c>
      <c r="L69" s="161" t="e">
        <f t="shared" si="37"/>
        <v>#N/A</v>
      </c>
      <c r="M69" s="161" t="e">
        <f t="shared" si="37"/>
        <v>#VALUE!</v>
      </c>
      <c r="N69" s="161" t="e">
        <f t="shared" si="37"/>
        <v>#VALUE!</v>
      </c>
      <c r="O69" s="450" t="s">
        <v>83</v>
      </c>
      <c r="P69" s="679" t="s">
        <v>24</v>
      </c>
      <c r="Q69" s="680"/>
      <c r="R69" s="162"/>
      <c r="S69" s="162"/>
      <c r="T69" s="162"/>
      <c r="U69" s="162"/>
      <c r="V69" s="775">
        <f>SUM(V57:V68)</f>
        <v>0</v>
      </c>
      <c r="W69" s="776"/>
      <c r="X69" s="163"/>
      <c r="Y69" s="163">
        <f t="shared" ref="Y69" si="38">SUM(Y57:Y68)</f>
        <v>0</v>
      </c>
      <c r="Z69" s="163">
        <f t="shared" ref="Z69:AD69" si="39">SUM(Z57:Z68)</f>
        <v>0</v>
      </c>
      <c r="AA69" s="163" t="e">
        <f t="shared" si="39"/>
        <v>#N/A</v>
      </c>
      <c r="AB69" s="163" t="e">
        <f t="shared" si="39"/>
        <v>#N/A</v>
      </c>
      <c r="AC69" s="163">
        <f t="shared" si="39"/>
        <v>0</v>
      </c>
      <c r="AD69" s="163" t="e">
        <f t="shared" si="39"/>
        <v>#N/A</v>
      </c>
      <c r="AE69" s="450" t="s">
        <v>83</v>
      </c>
      <c r="AF69" s="692" t="s">
        <v>24</v>
      </c>
      <c r="AG69" s="693"/>
      <c r="AH69" s="164"/>
      <c r="AI69" s="164"/>
      <c r="AJ69" s="164"/>
      <c r="AK69" s="164"/>
      <c r="AL69" s="696">
        <f>SUM(AL57:AL68)</f>
        <v>0</v>
      </c>
      <c r="AM69" s="697"/>
      <c r="AN69" s="165"/>
      <c r="AO69" s="165">
        <f t="shared" ref="AO69" si="40">SUM(AO57:AO68)</f>
        <v>0</v>
      </c>
      <c r="AP69" s="165">
        <f t="shared" ref="AP69:AT69" si="41">SUM(AP57:AP68)</f>
        <v>0</v>
      </c>
      <c r="AQ69" s="165" t="e">
        <f t="shared" si="41"/>
        <v>#N/A</v>
      </c>
      <c r="AR69" s="165" t="e">
        <f t="shared" si="41"/>
        <v>#N/A</v>
      </c>
      <c r="AS69" s="165">
        <f t="shared" si="41"/>
        <v>0</v>
      </c>
      <c r="AT69" s="165" t="e">
        <f t="shared" si="41"/>
        <v>#N/A</v>
      </c>
      <c r="AU69" s="450" t="s">
        <v>83</v>
      </c>
    </row>
    <row r="70" spans="2:47" ht="16.5" thickBot="1" x14ac:dyDescent="0.4">
      <c r="B70" s="137"/>
      <c r="C70" s="137"/>
      <c r="D70" s="137"/>
      <c r="E70" s="137"/>
      <c r="F70" s="137"/>
      <c r="G70" s="166" t="s">
        <v>25</v>
      </c>
      <c r="H70" s="167" t="e">
        <f>IF(AND(J29="ja",$X$6=TRUE),(AVERAGE(H63:H68))/12*COUNTIFS(G57:G68,"&gt;0"),IF(AND($X$6=TRUE,J29="nein"),(AVERAGE(H57:H68)/12)*COUNTIFS(G57:G68,"&gt;0"),IF(AND(OR($X$6="",$X$6=FALSE),J29="ja"),(AVERAGE(H63:H68))/12*COUNTIFS(G57:G68,"&gt;0"),0)))</f>
        <v>#VALUE!</v>
      </c>
      <c r="I70" s="167"/>
      <c r="J70" s="249">
        <f t="shared" ref="J70" si="42">IFERROR((SUM(J57:J68)/COUNTIFS(J57:J68,"&gt;0")),0)</f>
        <v>0</v>
      </c>
      <c r="K70" s="249" t="e">
        <f>J70*AGBTR_Jahr1</f>
        <v>#N/A</v>
      </c>
      <c r="L70" s="249" t="e">
        <f>J70*VZunbDM1</f>
        <v>#N/A</v>
      </c>
      <c r="M70" s="447" t="s">
        <v>182</v>
      </c>
      <c r="N70" s="448" t="e">
        <f>SUM(J70:L70)</f>
        <v>#N/A</v>
      </c>
      <c r="O70" s="449" t="e">
        <f>N70*COUNTIFS(J57:J68,"&gt;0")</f>
        <v>#N/A</v>
      </c>
      <c r="V70" s="685" t="s">
        <v>25</v>
      </c>
      <c r="W70" s="686"/>
      <c r="X70" s="167" t="e">
        <f>IF(AND(P29="ja",$X$6=TRUE),(AVERAGE(X63:X68))/12*COUNTIFS(V57:W68,"&gt;0"),IF(AND($X$6=TRUE,P29="nein"),(AVERAGE(X57:X68)/12)*COUNTIFS(V57:W68,"&gt;0"),IF(AND(OR($X$6="",$X$6=FALSE),P29="ja"),(AVERAGE(X63:X68))/12*COUNTIFS(V57:W68,"&gt;0"),0)))</f>
        <v>#DIV/0!</v>
      </c>
      <c r="Y70" s="167"/>
      <c r="Z70" s="249">
        <f t="shared" ref="Z70" si="43">IFERROR((SUM(Z57:Z68)/COUNTIFS(Z57:Z68,"&gt;0")),0)</f>
        <v>0</v>
      </c>
      <c r="AA70" s="249" t="e">
        <f>Z70*AGBTR_Jahr2</f>
        <v>#N/A</v>
      </c>
      <c r="AB70" s="249" t="e">
        <f>Z70*VZunbDM2</f>
        <v>#N/A</v>
      </c>
      <c r="AC70" s="447" t="s">
        <v>182</v>
      </c>
      <c r="AD70" s="448" t="e">
        <f>SUM(Z70:AB70)</f>
        <v>#N/A</v>
      </c>
      <c r="AE70" s="449" t="e">
        <f>AD70*COUNTIFS(Z57:Z68,"&gt;0")</f>
        <v>#N/A</v>
      </c>
      <c r="AL70" s="685" t="s">
        <v>25</v>
      </c>
      <c r="AM70" s="686"/>
      <c r="AN70" s="167" t="e">
        <f>IF(AND(AB29="ja",$X$6=TRUE),(AVERAGE(AN63:AN68))/12*COUNTIFS(AL57:AM68,"&gt;0"),IF(AND($X$6=TRUE,AB29="nein"),(AVERAGE(AN57:AN68)/12)*COUNTIFS(AL57:AM68,"&gt;0"),IF(AND(OR($X$6="",$X$6=FALSE),AB29="ja"),(AVERAGE(AN63:AN68))/12*COUNTIFS(AL57:AM68,"&gt;0"),0)))</f>
        <v>#DIV/0!</v>
      </c>
      <c r="AO70" s="167"/>
      <c r="AP70" s="249">
        <f t="shared" ref="AP70" si="44">IFERROR((SUM(AP57:AP68)/COUNTIFS(AP57:AP68,"&gt;0")),0)</f>
        <v>0</v>
      </c>
      <c r="AQ70" s="249" t="e">
        <f>AP70*AGBTR_Jahr3</f>
        <v>#N/A</v>
      </c>
      <c r="AR70" s="249" t="e">
        <f>AP70*VZunbDM3</f>
        <v>#N/A</v>
      </c>
      <c r="AS70" s="447" t="s">
        <v>182</v>
      </c>
      <c r="AT70" s="448" t="e">
        <f>SUM(AP70:AR70)</f>
        <v>#N/A</v>
      </c>
      <c r="AU70" s="449" t="e">
        <f>AT70*COUNTIFS(AP57:AP68,"&gt;0")</f>
        <v>#N/A</v>
      </c>
    </row>
    <row r="72" spans="2:47" ht="16.5" hidden="1" outlineLevel="1" thickBot="1" x14ac:dyDescent="0.4">
      <c r="B72" s="169" t="s">
        <v>107</v>
      </c>
      <c r="C72" s="169"/>
      <c r="D72" s="169"/>
      <c r="E72" s="169"/>
      <c r="F72" s="169"/>
      <c r="G72" s="170">
        <f>IFERROR((SUM(G57:G68)/COUNTIFS(G57:G68,"&gt;0")),0)</f>
        <v>0</v>
      </c>
      <c r="H72" s="171">
        <f>IFERROR((SUM(H58:H69)/COUNTIFS(H58:H69,"&gt;0")),0)</f>
        <v>0</v>
      </c>
      <c r="I72" s="171"/>
      <c r="J72" s="171">
        <f>IFERROR((SUM(J57:J68)/COUNTIFS(J57:J68,"&gt;0")),0)</f>
        <v>0</v>
      </c>
      <c r="K72" s="171">
        <f t="shared" ref="K72:N72" si="45">IFERROR((SUM(K57:K68)/COUNTIFS(K57:K68,"&gt;0")),0)</f>
        <v>0</v>
      </c>
      <c r="L72" s="171">
        <f t="shared" si="45"/>
        <v>0</v>
      </c>
      <c r="M72" s="171">
        <f t="shared" si="45"/>
        <v>0</v>
      </c>
      <c r="N72" s="171">
        <f t="shared" si="45"/>
        <v>0</v>
      </c>
      <c r="O72" s="149"/>
      <c r="P72" s="681" t="s">
        <v>103</v>
      </c>
      <c r="Q72" s="682"/>
      <c r="R72" s="172"/>
      <c r="S72" s="172"/>
      <c r="T72" s="172"/>
      <c r="U72" s="172"/>
      <c r="V72" s="683">
        <f>IFERROR((SUM(V57:W68)/COUNTIFS(V57:W68,"&gt;0")),0)</f>
        <v>0</v>
      </c>
      <c r="W72" s="684"/>
      <c r="X72" s="173" t="e">
        <f>IF($AD$8="ja",((AVERAGE(X58:X69))/12)*COUNTIFS(V58:W69,"&gt;0"),((AVERAGE(X64:X69))/12)*COUNTIFS(V58:W69,"&gt;0"))</f>
        <v>#DIV/0!</v>
      </c>
      <c r="Y72" s="173"/>
      <c r="Z72" s="171">
        <f>IFERROR((SUM(Z57:Z68)/COUNTIFS(Z57:Z68,"&gt;0")),0)</f>
        <v>0</v>
      </c>
      <c r="AA72" s="171">
        <f t="shared" ref="AA72:AD72" si="46">IFERROR((SUM(AA57:AA68)/COUNTIFS(AA57:AA68,"&gt;0")),0)</f>
        <v>0</v>
      </c>
      <c r="AB72" s="171">
        <f t="shared" si="46"/>
        <v>0</v>
      </c>
      <c r="AC72" s="171">
        <f t="shared" si="46"/>
        <v>0</v>
      </c>
      <c r="AD72" s="171">
        <f t="shared" si="46"/>
        <v>0</v>
      </c>
      <c r="AF72" s="681" t="s">
        <v>103</v>
      </c>
      <c r="AG72" s="682"/>
      <c r="AH72" s="172"/>
      <c r="AI72" s="172"/>
      <c r="AJ72" s="172"/>
      <c r="AK72" s="172"/>
      <c r="AL72" s="683">
        <f>IFERROR((SUM(AL57:AM68)/COUNTIFS(AL57:AM68,"&gt;0")),0)</f>
        <v>0</v>
      </c>
      <c r="AM72" s="684"/>
      <c r="AN72" s="173" t="e">
        <f>IF($AD$8="ja",((AVERAGE(AN58:AN69))/12)*COUNTIFS(AL58:AM69,"&gt;0"),((AVERAGE(AN64:AN69))/12)*COUNTIFS(AL58:AM69,"&gt;0"))</f>
        <v>#DIV/0!</v>
      </c>
      <c r="AO72" s="173"/>
      <c r="AP72" s="171">
        <f>IFERROR((SUM(AP57:AP68)/COUNTIFS(AP57:AP68,"&gt;0")),0)</f>
        <v>0</v>
      </c>
      <c r="AQ72" s="171">
        <f>IFERROR((SUM(AQ57:AQ68)/COUNTIFS(AQ57:AQ68,"&gt;0")),0)</f>
        <v>0</v>
      </c>
      <c r="AR72" s="171">
        <f>IFERROR((SUM(AR57:AR68)/COUNTIFS(AR57:AR68,"&gt;0")),0)</f>
        <v>0</v>
      </c>
      <c r="AS72" s="171">
        <f>IFERROR((SUM(AS57:AS68)/COUNTIFS(AS57:AS68,"&gt;0")),0)</f>
        <v>0</v>
      </c>
      <c r="AT72" s="171">
        <f>IFERROR((SUM(AT57:AT68)/COUNTIFS(AT57:AT68,"&gt;0")),0)</f>
        <v>0</v>
      </c>
    </row>
    <row r="73" spans="2:47" collapsed="1" x14ac:dyDescent="0.35">
      <c r="B73" s="137"/>
      <c r="C73" s="137"/>
      <c r="D73" s="137"/>
      <c r="E73" s="137"/>
      <c r="F73" s="137"/>
      <c r="G73" s="115"/>
      <c r="H73" s="174"/>
      <c r="I73" s="174"/>
      <c r="J73" s="175"/>
      <c r="O73" s="149"/>
      <c r="W73" s="115"/>
      <c r="X73" s="174"/>
      <c r="Y73" s="174"/>
      <c r="Z73" s="175"/>
      <c r="AL73" s="115"/>
      <c r="AM73" s="115"/>
      <c r="AN73" s="174"/>
      <c r="AO73" s="174"/>
      <c r="AP73" s="175"/>
    </row>
    <row r="74" spans="2:47" ht="16.5" thickBot="1" x14ac:dyDescent="0.4">
      <c r="O74" s="149"/>
    </row>
    <row r="75" spans="2:47" ht="16.5" thickBot="1" x14ac:dyDescent="0.4">
      <c r="B75" s="176" t="s">
        <v>59</v>
      </c>
      <c r="C75" s="177"/>
      <c r="D75" s="177"/>
      <c r="E75" s="177"/>
      <c r="F75" s="177"/>
      <c r="G75" s="178">
        <f>J37+L37+N37</f>
        <v>0</v>
      </c>
      <c r="H75" s="179"/>
      <c r="I75" s="174"/>
      <c r="J75" s="175"/>
      <c r="O75" s="149"/>
      <c r="P75" s="767" t="s">
        <v>59</v>
      </c>
      <c r="Q75" s="768"/>
      <c r="R75" s="180"/>
      <c r="S75" s="180"/>
      <c r="T75" s="180"/>
      <c r="U75" s="180"/>
      <c r="V75" s="769">
        <f>P37+V37+Z37</f>
        <v>0</v>
      </c>
      <c r="W75" s="770"/>
      <c r="X75" s="180"/>
      <c r="AC75" s="137"/>
      <c r="AD75" s="137"/>
      <c r="AF75" s="694" t="s">
        <v>59</v>
      </c>
      <c r="AG75" s="695"/>
      <c r="AH75" s="181"/>
      <c r="AI75" s="181"/>
      <c r="AJ75" s="181"/>
      <c r="AK75" s="181"/>
      <c r="AL75" s="700">
        <f>AB37+AD37+AF37</f>
        <v>0</v>
      </c>
      <c r="AM75" s="701"/>
    </row>
    <row r="76" spans="2:47" x14ac:dyDescent="0.35">
      <c r="B76" s="182">
        <f>AF56+1</f>
        <v>1903</v>
      </c>
      <c r="C76" s="179" t="s">
        <v>31</v>
      </c>
      <c r="D76" s="179" t="s">
        <v>32</v>
      </c>
      <c r="E76" s="179" t="s">
        <v>33</v>
      </c>
      <c r="F76" s="179" t="s">
        <v>34</v>
      </c>
      <c r="G76" s="179" t="s">
        <v>5</v>
      </c>
      <c r="H76" s="179" t="s">
        <v>6</v>
      </c>
      <c r="I76" s="179" t="s">
        <v>299</v>
      </c>
      <c r="J76" s="179" t="s">
        <v>7</v>
      </c>
      <c r="K76" s="179" t="s">
        <v>8</v>
      </c>
      <c r="L76" s="179" t="s">
        <v>9</v>
      </c>
      <c r="M76" s="179" t="s">
        <v>10</v>
      </c>
      <c r="N76" s="179" t="s">
        <v>11</v>
      </c>
      <c r="O76" s="157"/>
      <c r="P76" s="687">
        <f>B76+1</f>
        <v>1904</v>
      </c>
      <c r="Q76" s="688"/>
      <c r="R76" s="183" t="s">
        <v>31</v>
      </c>
      <c r="S76" s="183" t="s">
        <v>32</v>
      </c>
      <c r="T76" s="183" t="s">
        <v>33</v>
      </c>
      <c r="U76" s="183" t="s">
        <v>34</v>
      </c>
      <c r="V76" s="689" t="s">
        <v>5</v>
      </c>
      <c r="W76" s="688"/>
      <c r="X76" s="183" t="s">
        <v>6</v>
      </c>
      <c r="Y76" s="183" t="s">
        <v>299</v>
      </c>
      <c r="Z76" s="183" t="s">
        <v>7</v>
      </c>
      <c r="AA76" s="183" t="s">
        <v>8</v>
      </c>
      <c r="AB76" s="183" t="s">
        <v>9</v>
      </c>
      <c r="AC76" s="183" t="s">
        <v>10</v>
      </c>
      <c r="AD76" s="183" t="s">
        <v>11</v>
      </c>
      <c r="AE76" s="158"/>
      <c r="AF76" s="777">
        <f>P76+1</f>
        <v>1905</v>
      </c>
      <c r="AG76" s="778"/>
      <c r="AH76" s="432" t="s">
        <v>31</v>
      </c>
      <c r="AI76" s="432" t="s">
        <v>32</v>
      </c>
      <c r="AJ76" s="432" t="s">
        <v>33</v>
      </c>
      <c r="AK76" s="432" t="s">
        <v>34</v>
      </c>
      <c r="AL76" s="698" t="s">
        <v>5</v>
      </c>
      <c r="AM76" s="699"/>
      <c r="AN76" s="185" t="s">
        <v>6</v>
      </c>
      <c r="AO76" s="185" t="s">
        <v>299</v>
      </c>
      <c r="AP76" s="185" t="s">
        <v>7</v>
      </c>
      <c r="AQ76" s="185" t="s">
        <v>8</v>
      </c>
      <c r="AR76" s="185" t="s">
        <v>9</v>
      </c>
      <c r="AS76" s="185" t="s">
        <v>10</v>
      </c>
      <c r="AT76" s="185" t="s">
        <v>11</v>
      </c>
    </row>
    <row r="77" spans="2:47" x14ac:dyDescent="0.35">
      <c r="B77" s="151" t="s">
        <v>12</v>
      </c>
      <c r="C77" s="152">
        <f>EOMONTH(CONCATENATE("01.","01.",$B$76),0)</f>
        <v>1127</v>
      </c>
      <c r="D77" s="153">
        <f>IF($J$36="",0,IF(AND(DAY($J$36)&gt;1,MONTH(C77)=MONTH($J$36)),$K$37,IF(AND(C77&gt;=$J$36,C77&lt;=$K$36),30,IF((MONTH(C77)=MONTH($K$36)),DAY($K$36),0))))</f>
        <v>0</v>
      </c>
      <c r="E77" s="153">
        <f>IF($L$36="",0,IF(C77&lt;$L$36,0,IF(AND(MONTH($L$36)=MONTH($M$36),MONTH(C77)=MONTH($M$36)),$M$37,IF(AND(MONTH($L$36)&lt;&gt;MONTH($M$36),MONTH(C77)=MONTH($L$36)),$M$37,IF(AND(D77&gt;0,DAY($J$36)&gt;1,MONTH($J$36)=MONTH($K$36)),30-D77-DAY($J$36)+1,IF(AND(D77&gt;0,DAY($J$36)&gt;1),30-D77,(IF(D77&gt;0,30-D77,IF(AND(C77&gt;=$L$36,C77&lt;=$M$36),30,IF((MONTH(C77)=MONTH($M$36)),DAY($M$36),0))))))))))</f>
        <v>0</v>
      </c>
      <c r="F77" s="153">
        <f>IF($N$36="",0,IF(C77&lt;$N$36,0,IF(AND(MONTH($N$36)=MONTH($O$36),MONTH(C77)=MONTH($O$36)),$O$37,IF(AND(MONTH($N$36)&lt;&gt;MONTH($O$36),MONTH(C77)=MONTH($N$36)),$O$37,IF(AND(E77&gt;0,MONTH($N$36)=MONTH($M$36)),30-DAY($M$36),(IF(E77&gt;0,30-D77-E77,IF(AND(C77&gt;=$N$36,C77&lt;=$O$36),30,IF((MONTH(C77)=MONTH($O$36)),DAY($O$36),0)))))))))</f>
        <v>0</v>
      </c>
      <c r="G77" s="154">
        <f>(D77*$J$38/30)+(E77*$L$38/30)+(F77*$N$38/30)</f>
        <v>0</v>
      </c>
      <c r="H77" s="155" t="str">
        <f t="shared" ref="H77:H85" si="47">IF(AND(SUM(D77:F77)=30,F77&gt;0),$N$38*$N$42,IF(AND(SUM(D77:F77)=30,E77&gt;0),$L$38*$L$42,IF(AND(SUM(D77:F77)=30,D77&gt;0),$J$38*$J$42,"")))</f>
        <v/>
      </c>
      <c r="I77" s="156">
        <f t="shared" ref="I77:I88" si="48">IF(AND($X$9=TRUE,G77&gt;0),(MZJahr4*$W$6),0)</f>
        <v>0</v>
      </c>
      <c r="J77" s="155">
        <f>IF(G77=0,0,IF(AND($J$43="ja",$X$6=TRUE),(AVERAGE($H$83:$H$88))/12*COUNTIFS($G$77:$G$88,"&gt;0"),IF(AND($X$6=TRUE,$J$43="nein"),(AVERAGE($H$77:$H$88)/12)*COUNTIFS($G$77:$G$88,"&gt;0"),IF(AND(OR($X$6="",$X$6=FALSE),$J$43="ja"),(AVERAGE($H$83:$H$88))/12*COUNTIFS($G$77:$G$88,"&gt;0"),0)))/COUNTIFS($G$77:$G$88,"&gt;0"))</f>
        <v>0</v>
      </c>
      <c r="K77" s="156" t="e">
        <f t="shared" ref="K77:K88" si="49">IF((G77)&gt;=Bmg2Jahr4,AGHBTR_Jahr4,IF((G77)&gt;=Bmg1Jahr4,(RvBeitrJahr4*(G77+J77))+(AvBeitrJahr4*(G77+J77))+(U2UmlJahr4*(G77+J77))+HBetrKVJahr4+HBetrPVJahr4,AGBTR_Jahr4*(G77+J77)))</f>
        <v>#N/A</v>
      </c>
      <c r="L77" s="156" t="e">
        <f t="shared" ref="L77:L88" si="50">IF($X$8=TRUE,VZunbDM1*(G77+J77+K77+I77-U2UmlJahr1*(G77+J77)),VzDmJahr1*(G77+J77))</f>
        <v>#N/A</v>
      </c>
      <c r="M77" s="156">
        <f t="shared" ref="M77:M88" si="51">IF(G77&gt;0,(LukJahr4*$W$6),0)</f>
        <v>0</v>
      </c>
      <c r="N77" s="156" t="e">
        <f>SUM(G77,J77,K77,L77,M77+I77)</f>
        <v>#N/A</v>
      </c>
      <c r="O77" s="157"/>
      <c r="P77" s="667" t="s">
        <v>12</v>
      </c>
      <c r="Q77" s="668"/>
      <c r="R77" s="152">
        <f>EOMONTH(CONCATENATE("01.","01.",$P$76),0)</f>
        <v>1492</v>
      </c>
      <c r="S77" s="153">
        <f>IF($P$36="",0,IF(AND(DAY($P$36)&gt;1,MONTH(R77)=MONTH($P$36)),$Q$37,IF(AND(R77&gt;=$P$36,R77&lt;=$Q$36),30,IF((MONTH(R77)=MONTH($Q$36)),DAY($Q$36),0))))</f>
        <v>0</v>
      </c>
      <c r="T77" s="153">
        <f>IF($V$36="",0,IF(R77&lt;$V$36,0,IF(AND(MONTH($V$36)=MONTH($W$36),MONTH(R77)=MONTH($W$36)),$W$37,IF(AND(MONTH($V$36)&lt;&gt;MONTH($W$36),MONTH(R77)=MONTH($V$36)),$W$37,IF(AND(S77&gt;0,DAY($P$36)&gt;1,MONTH($P$36)=MONTH($Q$36)),30-S77-DAY($P$36)+1,IF(AND(S77&gt;0,DAY($P$36)&gt;1),30-S77,(IF(S77&gt;0,30-S77,IF(AND(R77&gt;=$V$36,R77&lt;=$W$36),30,IF((MONTH(R77)=MONTH($W$36)),DAY($W$36),0))))))))))</f>
        <v>0</v>
      </c>
      <c r="U77" s="153">
        <f t="shared" ref="U77:U88" si="52">IF($Z$36="",0,IF(R77&lt;$Z$36,0,IF(AND(MONTH($Z$36)=MONTH($AA$36),MONTH(R77)=MONTH($AA$36)),$AA$37,IF(AND(MONTH($Z$36)&lt;&gt;MONTH($AA$36),MONTH(R77)=MONTH($Z$36)),$AA$37,IF(AND(T77&gt;0,MONTH($Z$36)=MONTH($W$36)),30-DAY($W$36),(IF(T77&gt;0,30-S77-T77,IF(AND(R77&gt;=$Z$36,R77&lt;=$AA$36),30,IF((MONTH(R77)=MONTH($AA$36)),DAY($AA$36),0)))))))))</f>
        <v>0</v>
      </c>
      <c r="V77" s="677">
        <f t="shared" ref="V77:V88" si="53">(S77*$P$38/30)+(T77*$V$38/30)+(U77*$Z$38/30)</f>
        <v>0</v>
      </c>
      <c r="W77" s="678"/>
      <c r="X77" s="155" t="str">
        <f t="shared" ref="X77:X85" si="54">IF(AND(SUM(S77:U77)=30,U77&gt;0),$Z$38*$Z$42,IF(AND(SUM(S77:U77)=30,T77&gt;0),$V$38*$V$42,IF(AND(SUM(S77:U77)=30,S77&gt;0),$P$38*$P$42,"")))</f>
        <v/>
      </c>
      <c r="Y77" s="156">
        <f t="shared" ref="Y77:Y88" si="55">IF(AND($X$9=TRUE,V77&gt;0),(MZJahr5*$O$10),0)</f>
        <v>0</v>
      </c>
      <c r="Z77" s="155">
        <f>IF(V77=0,0,IF(AND($P$43="ja",$X$6=TRUE),(AVERAGE($X$83:$X$88))/12*COUNTIFS($V$77:$W$88,"&gt;0"),IF(AND($X$6=TRUE,$P$43="nein"),(AVERAGE($X$77:$X$88)/12)*COUNTIFS($V$77:$W$88,"&gt;0"),IF(AND(OR($X$6="",$X$6=FALSE),$P$29="ja"),(AVERAGE($X$83:$X$88))/12*COUNTIFS($V$77:$W$88,"&gt;0"),0)))/COUNTIFS($V$77:$W$88,"&gt;0"))</f>
        <v>0</v>
      </c>
      <c r="AA77" s="156" t="e">
        <f t="shared" ref="AA77:AA88" si="56">IF((V77)&gt;=Bmg2Jahr5,AGHBTR_Jahr5,IF((V77)&gt;=Bmg1Jahr5,(RvBeitrJahr5*(V77+Z77))+(AvBeitrJahr5*(V77+Z77))+(U2UmlJahr5*(V77+Z77))+HBetrKVJahr5+HBetrPVJahr5,AGBTR_Jahr5*(V77+Z77)))</f>
        <v>#N/A</v>
      </c>
      <c r="AB77" s="156" t="e">
        <f t="shared" ref="AB77:AB88" si="57">IF($X$8=TRUE,VZunbDM1*(U77+Y77+Z77+AA77-U2UmlJahr1*(V77+Z77)),VzDmJahr1*(V77+Z77))</f>
        <v>#N/A</v>
      </c>
      <c r="AC77" s="156">
        <f t="shared" ref="AC77:AC88" si="58">IF(V77&gt;0,(LukJahr5*$W$6),0)</f>
        <v>0</v>
      </c>
      <c r="AD77" s="156" t="e">
        <f>SUM(V77,Z77,AA77,AB77,AC77+Y77)</f>
        <v>#N/A</v>
      </c>
      <c r="AE77" s="158"/>
      <c r="AF77" s="667" t="s">
        <v>12</v>
      </c>
      <c r="AG77" s="668"/>
      <c r="AH77" s="152">
        <f>EOMONTH(CONCATENATE("01.","01.",$AF$76),0)</f>
        <v>1858</v>
      </c>
      <c r="AI77" s="153">
        <f t="shared" ref="AI77:AI88" si="59">IF($AB$36="",0,IF(AND(DAY($AB$36)&gt;1,MONTH(AH77)=MONTH($AB$36)),$AC$37,IF(AND(AH77&gt;=$AB$36,AH77&lt;=$AC$36),30,IF((MONTH(AH77)=MONTH($AC$36)),DAY($AC$36),0))))</f>
        <v>0</v>
      </c>
      <c r="AJ77" s="153">
        <f t="shared" ref="AJ77:AJ88" si="60">IF($AD$36="",0,IF(AH77&lt;$AD$36,0,IF(AND(MONTH($AD$36)=MONTH($AE$36),MONTH(AH77)=MONTH($AE$36)),$AE$37,IF(AND(MONTH($AD$36)&lt;&gt;MONTH($AE$36),MONTH(AH77)=MONTH($AD$36)),$AE$37,IF(AND(AI77&gt;0,DAY($AB$36)&gt;1,MONTH($AB$36)=MONTH($AC$36)),30-AI77-DAY($AB$36)+1,IF(AND(AI77&gt;0,DAY($AB$36)&gt;1),30-AI77,(IF(AI77&gt;0,30-AI77,IF(AND(AH77&gt;=$AD$36,AH77&lt;=$AE$36),30,IF((MONTH(AH77)=MONTH($AE$36)),DAY($AE$36),0))))))))))</f>
        <v>0</v>
      </c>
      <c r="AK77" s="153">
        <f t="shared" ref="AK77:AK88" si="61">IF($AF$36="",0,IF(AH77&lt;$AF$36,0,IF(AND(MONTH($AF$36)=MONTH($AG$36),MONTH(AH77)=MONTH($AG$36)),$AG$37,IF(AND(MONTH($AF$36)&lt;&gt;MONTH($AG$36),MONTH(AH77)=MONTH($AF$36)),$AG$37,IF(AND(AJ77&gt;0,MONTH($AF$36)=MONTH($AE$36)),30-DAY($AE$36),(IF(AJ77&gt;0,30-AI77-AJ77,IF(AND(AH77&gt;=$AF$36,AH77&lt;=$AG$36),30,IF((MONTH(AH77)=MONTH($AG$36)),DAY($AG$36),0)))))))))</f>
        <v>0</v>
      </c>
      <c r="AL77" s="677">
        <f t="shared" ref="AL77:AL88" si="62">(AI77*$AB$38/30)+(AJ77*$AD$38/30)+(AK77*$AF$38/30)</f>
        <v>0</v>
      </c>
      <c r="AM77" s="678"/>
      <c r="AN77" s="155" t="str">
        <f t="shared" ref="AN77:AN88" si="63">IF(AND(SUM(AI77:AK77)=30,AK77&gt;0),$AF$38*$AF$42,IF(AND(SUM(AI77:AK77)=30,AJ77&gt;0),$AD$38*$AD$42,IF(AND(SUM(AI77:AK77)=30,AI77&gt;0),$AB$38*$AB$42,"")))</f>
        <v/>
      </c>
      <c r="AO77" s="156">
        <f t="shared" ref="AO77:AO88" si="64">IF(AND($X$9=TRUE,AL77&gt;0),(MZJahr6*$O$10),0)</f>
        <v>0</v>
      </c>
      <c r="AP77" s="155">
        <f>IF(AL77=0,0,IF(AND($AB$43="ja",$X$6=TRUE),(AVERAGE($AN$83:$AN$88))/12*COUNTIFS($AL$77:$AM$88,"&gt;0"),IF(AND($X$6=TRUE,$AB$43="nein"),(AVERAGE($AN$77:$AN$88)/12)*COUNTIFS($AL$77:$AM$88,"&gt;0"),IF(AND(OR($X$6="",$X$6=FALSE),$AB$43="ja"),(AVERAGE($AN$83:$AN$88))/12*COUNTIFS($AL$77:$AM$88,"&gt;0"),0)))/COUNTIFS($AL$77:$AM$88,"&gt;0"))</f>
        <v>0</v>
      </c>
      <c r="AQ77" s="156" t="e">
        <f t="shared" ref="AQ77:AQ88" si="65">IF((AL77)&gt;=Bmg2Jahr6,AGHBTR_Jahr6,IF((AL77)&gt;=Bmg1Jahr6,(RvBeitrJahr6*(AL77+AP77))+(AvBeitrJahr6*(AL77+AP77))+(U2UmlJahr6*(AL77+AP77))+HBetrKVJahr6+HBetrPVJahr6,AGBTR_Jahr6*(AL77+AP77)))</f>
        <v>#N/A</v>
      </c>
      <c r="AR77" s="156" t="e">
        <f t="shared" ref="AR77:AR88" si="66">IF($X$8=TRUE,VZunbDM1*(AK77+AO77+AP77+AQ77-U2UmlJahr1*(AL77+AP77)),VzDmJahr1*(AL77+AP77))</f>
        <v>#N/A</v>
      </c>
      <c r="AS77" s="156">
        <f t="shared" ref="AS77:AS88" si="67">IF(AL77&gt;0,(LukJahr6*$W$6),0)</f>
        <v>0</v>
      </c>
      <c r="AT77" s="156" t="e">
        <f>SUM(AL77,AP77,AQ77,AR77,AS77+AO77)</f>
        <v>#N/A</v>
      </c>
    </row>
    <row r="78" spans="2:47" x14ac:dyDescent="0.35">
      <c r="B78" s="151" t="s">
        <v>13</v>
      </c>
      <c r="C78" s="152">
        <f>EOMONTH(CONCATENATE("01.","01.",$B$76),1)</f>
        <v>1155</v>
      </c>
      <c r="D78" s="153">
        <f t="shared" ref="D78:D88" si="68">IF($J$36="",0,IF(AND(DAY($J$36)&gt;1,MONTH(C78)=MONTH($J$36)),$K$37,IF(AND(C78&gt;=$J$36,C78&lt;=$K$36),30,IF((MONTH(C78)=MONTH($K$36)),DAY($K$36),0))))</f>
        <v>0</v>
      </c>
      <c r="E78" s="153">
        <f t="shared" ref="E78:E88" si="69">IF($L$36="",0,IF(C78&lt;$L$36,0,IF(AND(MONTH($L$36)=MONTH($M$36),MONTH(C78)=MONTH($M$36)),$M$37,IF(AND(MONTH($L$36)&lt;&gt;MONTH($M$36),MONTH(C78)=MONTH($L$36)),$M$37,IF(AND(D78&gt;0,DAY($J$36)&gt;1,MONTH($J$36)=MONTH($K$36)),30-D78-DAY($J$36)+1,IF(AND(D78&gt;0,DAY($J$36)&gt;1),30-D78,(IF(D78&gt;0,30-D78,IF(AND(C78&gt;=$L$36,C78&lt;=$M$36),30,IF((MONTH(C78)=MONTH($M$36)),DAY($M$36),0))))))))))</f>
        <v>0</v>
      </c>
      <c r="F78" s="153">
        <f t="shared" ref="F78:F88" si="70">IF($N$36="",0,IF(C78&lt;$N$36,0,IF(AND(MONTH($N$36)=MONTH($O$36),MONTH(C78)=MONTH($O$36)),$O$37,IF(AND(MONTH($N$36)&lt;&gt;MONTH($O$36),MONTH(C78)=MONTH($N$36)),$O$37,IF(AND(E78&gt;0,MONTH($N$36)=MONTH($M$36)),30-DAY($M$36),(IF(E78&gt;0,30-D78-E78,IF(AND(C78&gt;=$N$36,C78&lt;=$O$36),30,IF((MONTH(C78)=MONTH($O$36)),DAY($O$36),0)))))))))</f>
        <v>0</v>
      </c>
      <c r="G78" s="154">
        <f t="shared" ref="G78:G88" si="71">(D78*$J$38/30)+(E78*$L$38/30)+(F78*$N$38/30)</f>
        <v>0</v>
      </c>
      <c r="H78" s="155" t="str">
        <f t="shared" si="47"/>
        <v/>
      </c>
      <c r="I78" s="156">
        <f t="shared" si="48"/>
        <v>0</v>
      </c>
      <c r="J78" s="155">
        <f t="shared" ref="J78:J88" si="72">IF(G78=0,0,IF(AND($J$43="ja",$X$6=TRUE),(AVERAGE($H$83:$H$88))/12*COUNTIFS($G$77:$G$88,"&gt;0"),IF(AND($X$6=TRUE,$J$43="nein"),(AVERAGE($H$77:$H$88)/12)*COUNTIFS($G$77:$G$88,"&gt;0"),IF(AND(OR($X$6="",$X$6=FALSE),$J$43="ja"),(AVERAGE($H$83:$H$88))/12*COUNTIFS($G$77:$G$88,"&gt;0"),0)))/COUNTIFS($G$77:$G$88,"&gt;0"))</f>
        <v>0</v>
      </c>
      <c r="K78" s="156" t="e">
        <f t="shared" si="49"/>
        <v>#N/A</v>
      </c>
      <c r="L78" s="156" t="e">
        <f t="shared" si="50"/>
        <v>#N/A</v>
      </c>
      <c r="M78" s="156">
        <f t="shared" si="51"/>
        <v>0</v>
      </c>
      <c r="N78" s="156" t="e">
        <f t="shared" ref="N78:N88" si="73">SUM(G78,J78,K78,L78,M78+I78)</f>
        <v>#N/A</v>
      </c>
      <c r="O78" s="186"/>
      <c r="P78" s="667" t="s">
        <v>13</v>
      </c>
      <c r="Q78" s="668"/>
      <c r="R78" s="152">
        <f>EOMONTH(CONCATENATE("01.","01.",$P$76),1)</f>
        <v>1521</v>
      </c>
      <c r="S78" s="153">
        <f t="shared" ref="S78:S88" si="74">IF($P$36="",0,IF(AND(DAY($P$36)&gt;1,MONTH(R78)=MONTH($P$36)),$Q$37,IF(AND(R78&gt;=$P$36,R78&lt;=$Q$36),30,IF((MONTH(R78)=MONTH($Q$36)),DAY($Q$36),0))))</f>
        <v>0</v>
      </c>
      <c r="T78" s="153">
        <f t="shared" ref="T78:T88" si="75">IF($V$36="",0,IF(R78&lt;$V$36,0,IF(AND(MONTH($V$36)=MONTH($W$36),MONTH(R78)=MONTH($W$36)),$W$37,IF(AND(MONTH($V$36)&lt;&gt;MONTH($W$36),MONTH(R78)=MONTH($V$36)),$W$37,IF(AND(S78&gt;0,DAY($P$36)&gt;1,MONTH($P$36)=MONTH($Q$36)),30-S78-DAY($P$36)+1,IF(AND(S78&gt;0,DAY($P$36)&gt;1),30-S78,(IF(S78&gt;0,30-S78,IF(AND(R78&gt;=$V$36,R78&lt;=$W$36),30,IF((MONTH(R78)=MONTH($W$36)),DAY($W$36),0))))))))))</f>
        <v>0</v>
      </c>
      <c r="U78" s="153">
        <f t="shared" si="52"/>
        <v>0</v>
      </c>
      <c r="V78" s="677">
        <f t="shared" si="53"/>
        <v>0</v>
      </c>
      <c r="W78" s="678"/>
      <c r="X78" s="155" t="str">
        <f t="shared" si="54"/>
        <v/>
      </c>
      <c r="Y78" s="156">
        <f t="shared" si="55"/>
        <v>0</v>
      </c>
      <c r="Z78" s="155">
        <f t="shared" ref="Z78:Z88" si="76">IF(V78=0,0,IF(AND($P$43="ja",$X$6=TRUE),(AVERAGE($X$83:$X$88))/12*COUNTIFS($V$77:$W$88,"&gt;0"),IF(AND($X$6=TRUE,$P$43="nein"),(AVERAGE($X$77:$X$88)/12)*COUNTIFS($V$77:$W$88,"&gt;0"),IF(AND(OR($X$6="",$X$6=FALSE),$P$29="ja"),(AVERAGE($X$83:$X$88))/12*COUNTIFS($V$77:$W$88,"&gt;0"),0)))/COUNTIFS($V$77:$W$88,"&gt;0"))</f>
        <v>0</v>
      </c>
      <c r="AA78" s="156" t="e">
        <f t="shared" si="56"/>
        <v>#N/A</v>
      </c>
      <c r="AB78" s="156" t="e">
        <f t="shared" si="57"/>
        <v>#N/A</v>
      </c>
      <c r="AC78" s="156">
        <f t="shared" si="58"/>
        <v>0</v>
      </c>
      <c r="AD78" s="156" t="e">
        <f t="shared" ref="AD78:AD88" si="77">SUM(V78,Z78,AA78,AB78,AC78+Y78)</f>
        <v>#N/A</v>
      </c>
      <c r="AE78" s="158"/>
      <c r="AF78" s="667" t="s">
        <v>13</v>
      </c>
      <c r="AG78" s="668"/>
      <c r="AH78" s="152">
        <f>EOMONTH(CONCATENATE("01.","01.",$AF$76),1)</f>
        <v>1886</v>
      </c>
      <c r="AI78" s="153">
        <f t="shared" si="59"/>
        <v>0</v>
      </c>
      <c r="AJ78" s="153">
        <f t="shared" si="60"/>
        <v>0</v>
      </c>
      <c r="AK78" s="153">
        <f t="shared" si="61"/>
        <v>0</v>
      </c>
      <c r="AL78" s="677">
        <f t="shared" si="62"/>
        <v>0</v>
      </c>
      <c r="AM78" s="678"/>
      <c r="AN78" s="155" t="str">
        <f t="shared" si="63"/>
        <v/>
      </c>
      <c r="AO78" s="156">
        <f t="shared" si="64"/>
        <v>0</v>
      </c>
      <c r="AP78" s="155">
        <f t="shared" ref="AP78:AP88" si="78">IF(AL78=0,0,IF(AND($AB$43="ja",$X$6=TRUE),(AVERAGE($AN$83:$AN$88))/12*COUNTIFS($AL$77:$AM$88,"&gt;0"),IF(AND($X$6=TRUE,$AB$43="nein"),(AVERAGE($AN$77:$AN$88)/12)*COUNTIFS($AL$77:$AM$88,"&gt;0"),IF(AND(OR($X$6="",$X$6=FALSE),$AB$43="ja"),(AVERAGE($AN$83:$AN$88))/12*COUNTIFS($AL$77:$AM$88,"&gt;0"),0)))/COUNTIFS($AL$77:$AM$88,"&gt;0"))</f>
        <v>0</v>
      </c>
      <c r="AQ78" s="156" t="e">
        <f t="shared" si="65"/>
        <v>#N/A</v>
      </c>
      <c r="AR78" s="156" t="e">
        <f t="shared" si="66"/>
        <v>#N/A</v>
      </c>
      <c r="AS78" s="156">
        <f t="shared" si="67"/>
        <v>0</v>
      </c>
      <c r="AT78" s="156" t="e">
        <f t="shared" ref="AT78:AT88" si="79">SUM(AL78,AP78,AQ78,AR78,AS78+AO78)</f>
        <v>#N/A</v>
      </c>
    </row>
    <row r="79" spans="2:47" x14ac:dyDescent="0.35">
      <c r="B79" s="151" t="s">
        <v>14</v>
      </c>
      <c r="C79" s="152">
        <f>EOMONTH(CONCATENATE("01.","01.",$B$76),2)</f>
        <v>1186</v>
      </c>
      <c r="D79" s="153">
        <f t="shared" si="68"/>
        <v>0</v>
      </c>
      <c r="E79" s="153">
        <f t="shared" si="69"/>
        <v>0</v>
      </c>
      <c r="F79" s="153">
        <f t="shared" si="70"/>
        <v>0</v>
      </c>
      <c r="G79" s="154">
        <f t="shared" si="71"/>
        <v>0</v>
      </c>
      <c r="H79" s="155" t="str">
        <f t="shared" si="47"/>
        <v/>
      </c>
      <c r="I79" s="156">
        <f t="shared" si="48"/>
        <v>0</v>
      </c>
      <c r="J79" s="155">
        <f t="shared" si="72"/>
        <v>0</v>
      </c>
      <c r="K79" s="156" t="e">
        <f t="shared" si="49"/>
        <v>#N/A</v>
      </c>
      <c r="L79" s="156" t="e">
        <f t="shared" si="50"/>
        <v>#N/A</v>
      </c>
      <c r="M79" s="156">
        <f t="shared" si="51"/>
        <v>0</v>
      </c>
      <c r="N79" s="156" t="e">
        <f t="shared" si="73"/>
        <v>#N/A</v>
      </c>
      <c r="O79" s="157"/>
      <c r="P79" s="667" t="s">
        <v>14</v>
      </c>
      <c r="Q79" s="668"/>
      <c r="R79" s="152">
        <f>EOMONTH(CONCATENATE("01.","01.",$P$76),2)</f>
        <v>1552</v>
      </c>
      <c r="S79" s="153">
        <f t="shared" si="74"/>
        <v>0</v>
      </c>
      <c r="T79" s="153">
        <f t="shared" si="75"/>
        <v>0</v>
      </c>
      <c r="U79" s="153">
        <f t="shared" si="52"/>
        <v>0</v>
      </c>
      <c r="V79" s="677">
        <f t="shared" si="53"/>
        <v>0</v>
      </c>
      <c r="W79" s="678"/>
      <c r="X79" s="155" t="str">
        <f t="shared" si="54"/>
        <v/>
      </c>
      <c r="Y79" s="156">
        <f t="shared" si="55"/>
        <v>0</v>
      </c>
      <c r="Z79" s="155">
        <f t="shared" si="76"/>
        <v>0</v>
      </c>
      <c r="AA79" s="156" t="e">
        <f t="shared" si="56"/>
        <v>#N/A</v>
      </c>
      <c r="AB79" s="156" t="e">
        <f t="shared" si="57"/>
        <v>#N/A</v>
      </c>
      <c r="AC79" s="156">
        <f t="shared" si="58"/>
        <v>0</v>
      </c>
      <c r="AD79" s="156" t="e">
        <f t="shared" si="77"/>
        <v>#N/A</v>
      </c>
      <c r="AE79" s="158"/>
      <c r="AF79" s="667" t="s">
        <v>14</v>
      </c>
      <c r="AG79" s="668"/>
      <c r="AH79" s="152">
        <f>EOMONTH(CONCATENATE("01.","01.",$AF$76),2)</f>
        <v>1917</v>
      </c>
      <c r="AI79" s="153">
        <f t="shared" si="59"/>
        <v>0</v>
      </c>
      <c r="AJ79" s="153">
        <f t="shared" si="60"/>
        <v>0</v>
      </c>
      <c r="AK79" s="153">
        <f t="shared" si="61"/>
        <v>0</v>
      </c>
      <c r="AL79" s="677">
        <f t="shared" si="62"/>
        <v>0</v>
      </c>
      <c r="AM79" s="678"/>
      <c r="AN79" s="155" t="str">
        <f t="shared" si="63"/>
        <v/>
      </c>
      <c r="AO79" s="156">
        <f t="shared" si="64"/>
        <v>0</v>
      </c>
      <c r="AP79" s="155">
        <f t="shared" si="78"/>
        <v>0</v>
      </c>
      <c r="AQ79" s="156" t="e">
        <f t="shared" si="65"/>
        <v>#N/A</v>
      </c>
      <c r="AR79" s="156" t="e">
        <f t="shared" si="66"/>
        <v>#N/A</v>
      </c>
      <c r="AS79" s="156">
        <f t="shared" si="67"/>
        <v>0</v>
      </c>
      <c r="AT79" s="156" t="e">
        <f t="shared" si="79"/>
        <v>#N/A</v>
      </c>
    </row>
    <row r="80" spans="2:47" x14ac:dyDescent="0.35">
      <c r="B80" s="151" t="s">
        <v>15</v>
      </c>
      <c r="C80" s="152">
        <f>EOMONTH(CONCATENATE("01.","01.",$B$76),3)</f>
        <v>1216</v>
      </c>
      <c r="D80" s="153">
        <f t="shared" si="68"/>
        <v>0</v>
      </c>
      <c r="E80" s="153">
        <f t="shared" si="69"/>
        <v>0</v>
      </c>
      <c r="F80" s="153">
        <f t="shared" si="70"/>
        <v>0</v>
      </c>
      <c r="G80" s="154">
        <f t="shared" si="71"/>
        <v>0</v>
      </c>
      <c r="H80" s="155" t="str">
        <f t="shared" si="47"/>
        <v/>
      </c>
      <c r="I80" s="156">
        <f t="shared" si="48"/>
        <v>0</v>
      </c>
      <c r="J80" s="155">
        <f t="shared" si="72"/>
        <v>0</v>
      </c>
      <c r="K80" s="156" t="e">
        <f t="shared" si="49"/>
        <v>#N/A</v>
      </c>
      <c r="L80" s="156" t="e">
        <f t="shared" si="50"/>
        <v>#N/A</v>
      </c>
      <c r="M80" s="156">
        <f t="shared" si="51"/>
        <v>0</v>
      </c>
      <c r="N80" s="156" t="e">
        <f t="shared" si="73"/>
        <v>#N/A</v>
      </c>
      <c r="O80" s="157"/>
      <c r="P80" s="667" t="s">
        <v>15</v>
      </c>
      <c r="Q80" s="668"/>
      <c r="R80" s="152">
        <f>EOMONTH(CONCATENATE("01.","01.",$P$76),3)</f>
        <v>1582</v>
      </c>
      <c r="S80" s="153">
        <f t="shared" si="74"/>
        <v>0</v>
      </c>
      <c r="T80" s="153">
        <f t="shared" si="75"/>
        <v>0</v>
      </c>
      <c r="U80" s="153">
        <f t="shared" si="52"/>
        <v>0</v>
      </c>
      <c r="V80" s="677">
        <f t="shared" si="53"/>
        <v>0</v>
      </c>
      <c r="W80" s="678"/>
      <c r="X80" s="155" t="str">
        <f t="shared" si="54"/>
        <v/>
      </c>
      <c r="Y80" s="156">
        <f t="shared" si="55"/>
        <v>0</v>
      </c>
      <c r="Z80" s="155">
        <f t="shared" si="76"/>
        <v>0</v>
      </c>
      <c r="AA80" s="156" t="e">
        <f t="shared" si="56"/>
        <v>#N/A</v>
      </c>
      <c r="AB80" s="156" t="e">
        <f t="shared" si="57"/>
        <v>#N/A</v>
      </c>
      <c r="AC80" s="156">
        <f t="shared" si="58"/>
        <v>0</v>
      </c>
      <c r="AD80" s="156" t="e">
        <f t="shared" si="77"/>
        <v>#N/A</v>
      </c>
      <c r="AE80" s="158"/>
      <c r="AF80" s="667" t="s">
        <v>15</v>
      </c>
      <c r="AG80" s="668"/>
      <c r="AH80" s="152">
        <f>EOMONTH(CONCATENATE("01.","01.",$AF$76),3)</f>
        <v>1947</v>
      </c>
      <c r="AI80" s="153">
        <f t="shared" si="59"/>
        <v>0</v>
      </c>
      <c r="AJ80" s="153">
        <f t="shared" si="60"/>
        <v>0</v>
      </c>
      <c r="AK80" s="153">
        <f t="shared" si="61"/>
        <v>0</v>
      </c>
      <c r="AL80" s="677">
        <f t="shared" si="62"/>
        <v>0</v>
      </c>
      <c r="AM80" s="678"/>
      <c r="AN80" s="155" t="str">
        <f t="shared" si="63"/>
        <v/>
      </c>
      <c r="AO80" s="156">
        <f t="shared" si="64"/>
        <v>0</v>
      </c>
      <c r="AP80" s="155">
        <f t="shared" si="78"/>
        <v>0</v>
      </c>
      <c r="AQ80" s="156" t="e">
        <f t="shared" si="65"/>
        <v>#N/A</v>
      </c>
      <c r="AR80" s="156" t="e">
        <f t="shared" si="66"/>
        <v>#N/A</v>
      </c>
      <c r="AS80" s="156">
        <f t="shared" si="67"/>
        <v>0</v>
      </c>
      <c r="AT80" s="156" t="e">
        <f t="shared" si="79"/>
        <v>#N/A</v>
      </c>
    </row>
    <row r="81" spans="2:47" x14ac:dyDescent="0.35">
      <c r="B81" s="151" t="s">
        <v>16</v>
      </c>
      <c r="C81" s="152">
        <f>EOMONTH(CONCATENATE("01.","01.",$B$76),4)</f>
        <v>1247</v>
      </c>
      <c r="D81" s="153">
        <f t="shared" si="68"/>
        <v>0</v>
      </c>
      <c r="E81" s="153">
        <f t="shared" si="69"/>
        <v>0</v>
      </c>
      <c r="F81" s="153">
        <f t="shared" si="70"/>
        <v>0</v>
      </c>
      <c r="G81" s="154">
        <f t="shared" si="71"/>
        <v>0</v>
      </c>
      <c r="H81" s="155" t="str">
        <f t="shared" si="47"/>
        <v/>
      </c>
      <c r="I81" s="156">
        <f t="shared" si="48"/>
        <v>0</v>
      </c>
      <c r="J81" s="155">
        <f t="shared" si="72"/>
        <v>0</v>
      </c>
      <c r="K81" s="156" t="e">
        <f t="shared" si="49"/>
        <v>#N/A</v>
      </c>
      <c r="L81" s="156" t="e">
        <f t="shared" si="50"/>
        <v>#N/A</v>
      </c>
      <c r="M81" s="156">
        <f t="shared" si="51"/>
        <v>0</v>
      </c>
      <c r="N81" s="156" t="e">
        <f t="shared" si="73"/>
        <v>#N/A</v>
      </c>
      <c r="O81" s="157"/>
      <c r="P81" s="667" t="s">
        <v>16</v>
      </c>
      <c r="Q81" s="668"/>
      <c r="R81" s="152">
        <f>EOMONTH(CONCATENATE("01.","01.",$P$76),4)</f>
        <v>1613</v>
      </c>
      <c r="S81" s="153">
        <f t="shared" si="74"/>
        <v>0</v>
      </c>
      <c r="T81" s="153">
        <f t="shared" si="75"/>
        <v>0</v>
      </c>
      <c r="U81" s="153">
        <f t="shared" si="52"/>
        <v>0</v>
      </c>
      <c r="V81" s="677">
        <f t="shared" si="53"/>
        <v>0</v>
      </c>
      <c r="W81" s="678"/>
      <c r="X81" s="155" t="str">
        <f t="shared" si="54"/>
        <v/>
      </c>
      <c r="Y81" s="156">
        <f t="shared" si="55"/>
        <v>0</v>
      </c>
      <c r="Z81" s="155">
        <f t="shared" si="76"/>
        <v>0</v>
      </c>
      <c r="AA81" s="156" t="e">
        <f t="shared" si="56"/>
        <v>#N/A</v>
      </c>
      <c r="AB81" s="156" t="e">
        <f t="shared" si="57"/>
        <v>#N/A</v>
      </c>
      <c r="AC81" s="156">
        <f t="shared" si="58"/>
        <v>0</v>
      </c>
      <c r="AD81" s="156" t="e">
        <f t="shared" si="77"/>
        <v>#N/A</v>
      </c>
      <c r="AE81" s="158"/>
      <c r="AF81" s="667" t="s">
        <v>16</v>
      </c>
      <c r="AG81" s="668"/>
      <c r="AH81" s="152">
        <f>EOMONTH(CONCATENATE("01.","01.",$AF$76),4)</f>
        <v>1978</v>
      </c>
      <c r="AI81" s="153">
        <f t="shared" si="59"/>
        <v>0</v>
      </c>
      <c r="AJ81" s="153">
        <f t="shared" si="60"/>
        <v>0</v>
      </c>
      <c r="AK81" s="153">
        <f t="shared" si="61"/>
        <v>0</v>
      </c>
      <c r="AL81" s="677">
        <f t="shared" si="62"/>
        <v>0</v>
      </c>
      <c r="AM81" s="678"/>
      <c r="AN81" s="155" t="str">
        <f t="shared" si="63"/>
        <v/>
      </c>
      <c r="AO81" s="156">
        <f t="shared" si="64"/>
        <v>0</v>
      </c>
      <c r="AP81" s="155">
        <f t="shared" si="78"/>
        <v>0</v>
      </c>
      <c r="AQ81" s="156" t="e">
        <f t="shared" si="65"/>
        <v>#N/A</v>
      </c>
      <c r="AR81" s="156" t="e">
        <f t="shared" si="66"/>
        <v>#N/A</v>
      </c>
      <c r="AS81" s="156">
        <f t="shared" si="67"/>
        <v>0</v>
      </c>
      <c r="AT81" s="156" t="e">
        <f t="shared" si="79"/>
        <v>#N/A</v>
      </c>
    </row>
    <row r="82" spans="2:47" x14ac:dyDescent="0.35">
      <c r="B82" s="151" t="s">
        <v>17</v>
      </c>
      <c r="C82" s="152">
        <f>EOMONTH(CONCATENATE("01.","01.",$B$76),5)</f>
        <v>1277</v>
      </c>
      <c r="D82" s="153">
        <f t="shared" si="68"/>
        <v>0</v>
      </c>
      <c r="E82" s="153">
        <f t="shared" si="69"/>
        <v>0</v>
      </c>
      <c r="F82" s="153">
        <f t="shared" si="70"/>
        <v>0</v>
      </c>
      <c r="G82" s="154">
        <f t="shared" si="71"/>
        <v>0</v>
      </c>
      <c r="H82" s="155" t="str">
        <f t="shared" si="47"/>
        <v/>
      </c>
      <c r="I82" s="156">
        <f t="shared" si="48"/>
        <v>0</v>
      </c>
      <c r="J82" s="155">
        <f t="shared" si="72"/>
        <v>0</v>
      </c>
      <c r="K82" s="156" t="e">
        <f t="shared" si="49"/>
        <v>#N/A</v>
      </c>
      <c r="L82" s="156" t="e">
        <f t="shared" si="50"/>
        <v>#N/A</v>
      </c>
      <c r="M82" s="156">
        <f t="shared" si="51"/>
        <v>0</v>
      </c>
      <c r="N82" s="156" t="e">
        <f t="shared" si="73"/>
        <v>#N/A</v>
      </c>
      <c r="O82" s="157"/>
      <c r="P82" s="667" t="s">
        <v>17</v>
      </c>
      <c r="Q82" s="668"/>
      <c r="R82" s="152">
        <f>EOMONTH(CONCATENATE("01.","01.",$P$76),5)</f>
        <v>1643</v>
      </c>
      <c r="S82" s="153">
        <f t="shared" si="74"/>
        <v>0</v>
      </c>
      <c r="T82" s="153">
        <f t="shared" si="75"/>
        <v>0</v>
      </c>
      <c r="U82" s="153">
        <f t="shared" si="52"/>
        <v>0</v>
      </c>
      <c r="V82" s="677">
        <f t="shared" si="53"/>
        <v>0</v>
      </c>
      <c r="W82" s="678"/>
      <c r="X82" s="155" t="str">
        <f t="shared" si="54"/>
        <v/>
      </c>
      <c r="Y82" s="156">
        <f t="shared" si="55"/>
        <v>0</v>
      </c>
      <c r="Z82" s="155">
        <f t="shared" si="76"/>
        <v>0</v>
      </c>
      <c r="AA82" s="156" t="e">
        <f t="shared" si="56"/>
        <v>#N/A</v>
      </c>
      <c r="AB82" s="156" t="e">
        <f t="shared" si="57"/>
        <v>#N/A</v>
      </c>
      <c r="AC82" s="156">
        <f t="shared" si="58"/>
        <v>0</v>
      </c>
      <c r="AD82" s="156" t="e">
        <f t="shared" si="77"/>
        <v>#N/A</v>
      </c>
      <c r="AE82" s="158"/>
      <c r="AF82" s="667" t="s">
        <v>17</v>
      </c>
      <c r="AG82" s="668"/>
      <c r="AH82" s="152">
        <f>EOMONTH(CONCATENATE("01.","01.",$AF$76),5)</f>
        <v>2008</v>
      </c>
      <c r="AI82" s="153">
        <f t="shared" si="59"/>
        <v>0</v>
      </c>
      <c r="AJ82" s="153">
        <f t="shared" si="60"/>
        <v>0</v>
      </c>
      <c r="AK82" s="153">
        <f t="shared" si="61"/>
        <v>0</v>
      </c>
      <c r="AL82" s="677">
        <f t="shared" si="62"/>
        <v>0</v>
      </c>
      <c r="AM82" s="678"/>
      <c r="AN82" s="155" t="str">
        <f t="shared" si="63"/>
        <v/>
      </c>
      <c r="AO82" s="156">
        <f t="shared" si="64"/>
        <v>0</v>
      </c>
      <c r="AP82" s="155">
        <f t="shared" si="78"/>
        <v>0</v>
      </c>
      <c r="AQ82" s="156" t="e">
        <f t="shared" si="65"/>
        <v>#N/A</v>
      </c>
      <c r="AR82" s="156" t="e">
        <f t="shared" si="66"/>
        <v>#N/A</v>
      </c>
      <c r="AS82" s="156">
        <f t="shared" si="67"/>
        <v>0</v>
      </c>
      <c r="AT82" s="156" t="e">
        <f t="shared" si="79"/>
        <v>#N/A</v>
      </c>
    </row>
    <row r="83" spans="2:47" x14ac:dyDescent="0.35">
      <c r="B83" s="151" t="s">
        <v>18</v>
      </c>
      <c r="C83" s="152">
        <f>EOMONTH(CONCATENATE("01.","01.",$B$76),6)</f>
        <v>1308</v>
      </c>
      <c r="D83" s="153">
        <f t="shared" si="68"/>
        <v>0</v>
      </c>
      <c r="E83" s="153">
        <f t="shared" si="69"/>
        <v>0</v>
      </c>
      <c r="F83" s="153">
        <f t="shared" si="70"/>
        <v>0</v>
      </c>
      <c r="G83" s="154">
        <f t="shared" si="71"/>
        <v>0</v>
      </c>
      <c r="H83" s="155" t="str">
        <f t="shared" si="47"/>
        <v/>
      </c>
      <c r="I83" s="156">
        <f t="shared" si="48"/>
        <v>0</v>
      </c>
      <c r="J83" s="155">
        <f t="shared" si="72"/>
        <v>0</v>
      </c>
      <c r="K83" s="156" t="e">
        <f t="shared" si="49"/>
        <v>#N/A</v>
      </c>
      <c r="L83" s="156" t="e">
        <f t="shared" si="50"/>
        <v>#N/A</v>
      </c>
      <c r="M83" s="156">
        <f t="shared" si="51"/>
        <v>0</v>
      </c>
      <c r="N83" s="156" t="e">
        <f t="shared" si="73"/>
        <v>#N/A</v>
      </c>
      <c r="O83" s="157"/>
      <c r="P83" s="667" t="s">
        <v>18</v>
      </c>
      <c r="Q83" s="668"/>
      <c r="R83" s="152">
        <f>EOMONTH(CONCATENATE("01.","01.",$P$76),6)</f>
        <v>1674</v>
      </c>
      <c r="S83" s="153">
        <f t="shared" si="74"/>
        <v>0</v>
      </c>
      <c r="T83" s="153">
        <f t="shared" si="75"/>
        <v>0</v>
      </c>
      <c r="U83" s="153">
        <f t="shared" si="52"/>
        <v>0</v>
      </c>
      <c r="V83" s="677">
        <f t="shared" si="53"/>
        <v>0</v>
      </c>
      <c r="W83" s="678"/>
      <c r="X83" s="155" t="str">
        <f t="shared" si="54"/>
        <v/>
      </c>
      <c r="Y83" s="156">
        <f t="shared" si="55"/>
        <v>0</v>
      </c>
      <c r="Z83" s="155">
        <f t="shared" si="76"/>
        <v>0</v>
      </c>
      <c r="AA83" s="156" t="e">
        <f t="shared" si="56"/>
        <v>#N/A</v>
      </c>
      <c r="AB83" s="156" t="e">
        <f t="shared" si="57"/>
        <v>#N/A</v>
      </c>
      <c r="AC83" s="156">
        <f t="shared" si="58"/>
        <v>0</v>
      </c>
      <c r="AD83" s="156" t="e">
        <f t="shared" si="77"/>
        <v>#N/A</v>
      </c>
      <c r="AE83" s="158"/>
      <c r="AF83" s="667" t="s">
        <v>18</v>
      </c>
      <c r="AG83" s="668"/>
      <c r="AH83" s="152">
        <f>EOMONTH(CONCATENATE("01.","01.",$AF$76),6)</f>
        <v>2039</v>
      </c>
      <c r="AI83" s="153">
        <f t="shared" si="59"/>
        <v>0</v>
      </c>
      <c r="AJ83" s="153">
        <f t="shared" si="60"/>
        <v>0</v>
      </c>
      <c r="AK83" s="153">
        <f t="shared" si="61"/>
        <v>0</v>
      </c>
      <c r="AL83" s="677">
        <f t="shared" si="62"/>
        <v>0</v>
      </c>
      <c r="AM83" s="678"/>
      <c r="AN83" s="155" t="str">
        <f t="shared" si="63"/>
        <v/>
      </c>
      <c r="AO83" s="156">
        <f t="shared" si="64"/>
        <v>0</v>
      </c>
      <c r="AP83" s="155">
        <f t="shared" si="78"/>
        <v>0</v>
      </c>
      <c r="AQ83" s="156" t="e">
        <f t="shared" si="65"/>
        <v>#N/A</v>
      </c>
      <c r="AR83" s="156" t="e">
        <f t="shared" si="66"/>
        <v>#N/A</v>
      </c>
      <c r="AS83" s="156">
        <f t="shared" si="67"/>
        <v>0</v>
      </c>
      <c r="AT83" s="156" t="e">
        <f t="shared" si="79"/>
        <v>#N/A</v>
      </c>
    </row>
    <row r="84" spans="2:47" x14ac:dyDescent="0.35">
      <c r="B84" s="151" t="s">
        <v>19</v>
      </c>
      <c r="C84" s="152">
        <f>EOMONTH(CONCATENATE("01.","01.",$B$76),7)</f>
        <v>1339</v>
      </c>
      <c r="D84" s="153">
        <f t="shared" si="68"/>
        <v>0</v>
      </c>
      <c r="E84" s="153">
        <f t="shared" si="69"/>
        <v>0</v>
      </c>
      <c r="F84" s="153">
        <f t="shared" si="70"/>
        <v>0</v>
      </c>
      <c r="G84" s="154">
        <f t="shared" si="71"/>
        <v>0</v>
      </c>
      <c r="H84" s="155" t="str">
        <f t="shared" si="47"/>
        <v/>
      </c>
      <c r="I84" s="156">
        <f t="shared" si="48"/>
        <v>0</v>
      </c>
      <c r="J84" s="155">
        <f t="shared" si="72"/>
        <v>0</v>
      </c>
      <c r="K84" s="156" t="e">
        <f t="shared" si="49"/>
        <v>#N/A</v>
      </c>
      <c r="L84" s="156" t="e">
        <f t="shared" si="50"/>
        <v>#N/A</v>
      </c>
      <c r="M84" s="156">
        <f t="shared" si="51"/>
        <v>0</v>
      </c>
      <c r="N84" s="156" t="e">
        <f t="shared" si="73"/>
        <v>#N/A</v>
      </c>
      <c r="O84" s="157"/>
      <c r="P84" s="667" t="s">
        <v>19</v>
      </c>
      <c r="Q84" s="668"/>
      <c r="R84" s="152">
        <f>EOMONTH(CONCATENATE("01.","01.",$P$76),7)</f>
        <v>1705</v>
      </c>
      <c r="S84" s="153">
        <f t="shared" si="74"/>
        <v>0</v>
      </c>
      <c r="T84" s="153">
        <f t="shared" si="75"/>
        <v>0</v>
      </c>
      <c r="U84" s="153">
        <f t="shared" si="52"/>
        <v>0</v>
      </c>
      <c r="V84" s="677">
        <f t="shared" si="53"/>
        <v>0</v>
      </c>
      <c r="W84" s="678"/>
      <c r="X84" s="155" t="str">
        <f t="shared" si="54"/>
        <v/>
      </c>
      <c r="Y84" s="156">
        <f t="shared" si="55"/>
        <v>0</v>
      </c>
      <c r="Z84" s="155">
        <f t="shared" si="76"/>
        <v>0</v>
      </c>
      <c r="AA84" s="156" t="e">
        <f t="shared" si="56"/>
        <v>#N/A</v>
      </c>
      <c r="AB84" s="156" t="e">
        <f t="shared" si="57"/>
        <v>#N/A</v>
      </c>
      <c r="AC84" s="156">
        <f t="shared" si="58"/>
        <v>0</v>
      </c>
      <c r="AD84" s="156" t="e">
        <f t="shared" si="77"/>
        <v>#N/A</v>
      </c>
      <c r="AE84" s="158"/>
      <c r="AF84" s="667" t="s">
        <v>19</v>
      </c>
      <c r="AG84" s="668"/>
      <c r="AH84" s="152">
        <f>EOMONTH(CONCATENATE("01.","01.",$AF$76),7)</f>
        <v>2070</v>
      </c>
      <c r="AI84" s="153">
        <f t="shared" si="59"/>
        <v>0</v>
      </c>
      <c r="AJ84" s="153">
        <f t="shared" si="60"/>
        <v>0</v>
      </c>
      <c r="AK84" s="153">
        <f t="shared" si="61"/>
        <v>0</v>
      </c>
      <c r="AL84" s="677">
        <f t="shared" si="62"/>
        <v>0</v>
      </c>
      <c r="AM84" s="678"/>
      <c r="AN84" s="155" t="str">
        <f t="shared" si="63"/>
        <v/>
      </c>
      <c r="AO84" s="156">
        <f t="shared" si="64"/>
        <v>0</v>
      </c>
      <c r="AP84" s="155">
        <f t="shared" si="78"/>
        <v>0</v>
      </c>
      <c r="AQ84" s="156" t="e">
        <f t="shared" si="65"/>
        <v>#N/A</v>
      </c>
      <c r="AR84" s="156" t="e">
        <f t="shared" si="66"/>
        <v>#N/A</v>
      </c>
      <c r="AS84" s="156">
        <f t="shared" si="67"/>
        <v>0</v>
      </c>
      <c r="AT84" s="156" t="e">
        <f t="shared" si="79"/>
        <v>#N/A</v>
      </c>
    </row>
    <row r="85" spans="2:47" x14ac:dyDescent="0.35">
      <c r="B85" s="151" t="s">
        <v>20</v>
      </c>
      <c r="C85" s="152">
        <f>EOMONTH(CONCATENATE("01.","01.",$B$76),8)</f>
        <v>1369</v>
      </c>
      <c r="D85" s="153">
        <f t="shared" si="68"/>
        <v>0</v>
      </c>
      <c r="E85" s="153">
        <f t="shared" si="69"/>
        <v>0</v>
      </c>
      <c r="F85" s="153">
        <f t="shared" si="70"/>
        <v>0</v>
      </c>
      <c r="G85" s="154">
        <f t="shared" si="71"/>
        <v>0</v>
      </c>
      <c r="H85" s="155" t="str">
        <f t="shared" si="47"/>
        <v/>
      </c>
      <c r="I85" s="156">
        <f t="shared" si="48"/>
        <v>0</v>
      </c>
      <c r="J85" s="155">
        <f t="shared" si="72"/>
        <v>0</v>
      </c>
      <c r="K85" s="156" t="e">
        <f t="shared" si="49"/>
        <v>#N/A</v>
      </c>
      <c r="L85" s="156" t="e">
        <f t="shared" si="50"/>
        <v>#N/A</v>
      </c>
      <c r="M85" s="156">
        <f t="shared" si="51"/>
        <v>0</v>
      </c>
      <c r="N85" s="156" t="e">
        <f t="shared" si="73"/>
        <v>#N/A</v>
      </c>
      <c r="O85" s="157"/>
      <c r="P85" s="667" t="s">
        <v>20</v>
      </c>
      <c r="Q85" s="668"/>
      <c r="R85" s="152">
        <f>EOMONTH(CONCATENATE("01.","01.",$P$76),8)</f>
        <v>1735</v>
      </c>
      <c r="S85" s="153">
        <f t="shared" si="74"/>
        <v>0</v>
      </c>
      <c r="T85" s="153">
        <f t="shared" si="75"/>
        <v>0</v>
      </c>
      <c r="U85" s="153">
        <f t="shared" si="52"/>
        <v>0</v>
      </c>
      <c r="V85" s="677">
        <f t="shared" si="53"/>
        <v>0</v>
      </c>
      <c r="W85" s="678"/>
      <c r="X85" s="155" t="str">
        <f t="shared" si="54"/>
        <v/>
      </c>
      <c r="Y85" s="156">
        <f t="shared" si="55"/>
        <v>0</v>
      </c>
      <c r="Z85" s="155">
        <f t="shared" si="76"/>
        <v>0</v>
      </c>
      <c r="AA85" s="156" t="e">
        <f t="shared" si="56"/>
        <v>#N/A</v>
      </c>
      <c r="AB85" s="156" t="e">
        <f t="shared" si="57"/>
        <v>#N/A</v>
      </c>
      <c r="AC85" s="156">
        <f t="shared" si="58"/>
        <v>0</v>
      </c>
      <c r="AD85" s="156" t="e">
        <f t="shared" si="77"/>
        <v>#N/A</v>
      </c>
      <c r="AE85" s="158"/>
      <c r="AF85" s="667" t="s">
        <v>20</v>
      </c>
      <c r="AG85" s="668"/>
      <c r="AH85" s="152">
        <f>EOMONTH(CONCATENATE("01.","01.",$AF$76),8)</f>
        <v>2100</v>
      </c>
      <c r="AI85" s="153">
        <f t="shared" si="59"/>
        <v>0</v>
      </c>
      <c r="AJ85" s="153">
        <f t="shared" si="60"/>
        <v>0</v>
      </c>
      <c r="AK85" s="153">
        <f t="shared" si="61"/>
        <v>0</v>
      </c>
      <c r="AL85" s="677">
        <f t="shared" si="62"/>
        <v>0</v>
      </c>
      <c r="AM85" s="678"/>
      <c r="AN85" s="155" t="str">
        <f t="shared" si="63"/>
        <v/>
      </c>
      <c r="AO85" s="156">
        <f t="shared" si="64"/>
        <v>0</v>
      </c>
      <c r="AP85" s="155">
        <f t="shared" si="78"/>
        <v>0</v>
      </c>
      <c r="AQ85" s="156" t="e">
        <f t="shared" si="65"/>
        <v>#N/A</v>
      </c>
      <c r="AR85" s="156" t="e">
        <f t="shared" si="66"/>
        <v>#N/A</v>
      </c>
      <c r="AS85" s="156">
        <f t="shared" si="67"/>
        <v>0</v>
      </c>
      <c r="AT85" s="156" t="e">
        <f t="shared" si="79"/>
        <v>#N/A</v>
      </c>
    </row>
    <row r="86" spans="2:47" x14ac:dyDescent="0.35">
      <c r="B86" s="151" t="s">
        <v>21</v>
      </c>
      <c r="C86" s="152">
        <f>EOMONTH(CONCATENATE("01.","01.",$B$76),9)</f>
        <v>1400</v>
      </c>
      <c r="D86" s="153">
        <f t="shared" si="68"/>
        <v>0</v>
      </c>
      <c r="E86" s="153">
        <f t="shared" si="69"/>
        <v>0</v>
      </c>
      <c r="F86" s="153">
        <f t="shared" si="70"/>
        <v>0</v>
      </c>
      <c r="G86" s="154">
        <f t="shared" si="71"/>
        <v>0</v>
      </c>
      <c r="H86" s="155" t="str">
        <f t="shared" ref="H86:H88" si="80">IF(AND(SUM(D86:F86)=30,F86&gt;0),$N$38*$N$42,IF(AND(SUM(D86:F86)=30,E86&gt;0),$L$38*$L$42,IF(AND(SUM(D86:F86)=30,D86&gt;0),$J$38*$J$42,"")))</f>
        <v/>
      </c>
      <c r="I86" s="156">
        <f t="shared" si="48"/>
        <v>0</v>
      </c>
      <c r="J86" s="155">
        <f t="shared" si="72"/>
        <v>0</v>
      </c>
      <c r="K86" s="156" t="e">
        <f t="shared" si="49"/>
        <v>#N/A</v>
      </c>
      <c r="L86" s="156" t="e">
        <f t="shared" si="50"/>
        <v>#N/A</v>
      </c>
      <c r="M86" s="156">
        <f t="shared" si="51"/>
        <v>0</v>
      </c>
      <c r="N86" s="156" t="e">
        <f t="shared" si="73"/>
        <v>#N/A</v>
      </c>
      <c r="O86" s="157"/>
      <c r="P86" s="667" t="s">
        <v>21</v>
      </c>
      <c r="Q86" s="668"/>
      <c r="R86" s="152">
        <f>EOMONTH(CONCATENATE("01.","01.",$P$76),9)</f>
        <v>1766</v>
      </c>
      <c r="S86" s="153">
        <f t="shared" si="74"/>
        <v>0</v>
      </c>
      <c r="T86" s="153">
        <f t="shared" si="75"/>
        <v>0</v>
      </c>
      <c r="U86" s="153">
        <f t="shared" si="52"/>
        <v>0</v>
      </c>
      <c r="V86" s="677">
        <f t="shared" si="53"/>
        <v>0</v>
      </c>
      <c r="W86" s="678"/>
      <c r="X86" s="155" t="str">
        <f t="shared" ref="X86:X88" si="81">IF(AND(SUM(S86:U86)=30,U86&gt;0),$Z$38*$Z$42,IF(AND(SUM(S86:U86)=30,T86&gt;0),$V$38*$V$42,IF(AND(SUM(S86:U86)=30,S86&gt;0),$P$38*$P$42,"")))</f>
        <v/>
      </c>
      <c r="Y86" s="156">
        <f t="shared" si="55"/>
        <v>0</v>
      </c>
      <c r="Z86" s="155">
        <f t="shared" si="76"/>
        <v>0</v>
      </c>
      <c r="AA86" s="156" t="e">
        <f t="shared" si="56"/>
        <v>#N/A</v>
      </c>
      <c r="AB86" s="156" t="e">
        <f t="shared" si="57"/>
        <v>#N/A</v>
      </c>
      <c r="AC86" s="156">
        <f t="shared" si="58"/>
        <v>0</v>
      </c>
      <c r="AD86" s="156" t="e">
        <f t="shared" si="77"/>
        <v>#N/A</v>
      </c>
      <c r="AE86" s="158"/>
      <c r="AF86" s="667" t="s">
        <v>21</v>
      </c>
      <c r="AG86" s="668"/>
      <c r="AH86" s="152">
        <f>EOMONTH(CONCATENATE("01.","01.",$AF$76),9)</f>
        <v>2131</v>
      </c>
      <c r="AI86" s="153">
        <f t="shared" si="59"/>
        <v>0</v>
      </c>
      <c r="AJ86" s="153">
        <f t="shared" si="60"/>
        <v>0</v>
      </c>
      <c r="AK86" s="153">
        <f t="shared" si="61"/>
        <v>0</v>
      </c>
      <c r="AL86" s="677">
        <f t="shared" si="62"/>
        <v>0</v>
      </c>
      <c r="AM86" s="678"/>
      <c r="AN86" s="155" t="str">
        <f t="shared" si="63"/>
        <v/>
      </c>
      <c r="AO86" s="156">
        <f t="shared" si="64"/>
        <v>0</v>
      </c>
      <c r="AP86" s="155">
        <f t="shared" si="78"/>
        <v>0</v>
      </c>
      <c r="AQ86" s="156" t="e">
        <f t="shared" si="65"/>
        <v>#N/A</v>
      </c>
      <c r="AR86" s="156" t="e">
        <f t="shared" si="66"/>
        <v>#N/A</v>
      </c>
      <c r="AS86" s="156">
        <f t="shared" si="67"/>
        <v>0</v>
      </c>
      <c r="AT86" s="156" t="e">
        <f t="shared" si="79"/>
        <v>#N/A</v>
      </c>
    </row>
    <row r="87" spans="2:47" x14ac:dyDescent="0.35">
      <c r="B87" s="151" t="s">
        <v>22</v>
      </c>
      <c r="C87" s="152">
        <f>EOMONTH(CONCATENATE("01.","01.",$B$76),10)</f>
        <v>1430</v>
      </c>
      <c r="D87" s="153">
        <f t="shared" si="68"/>
        <v>0</v>
      </c>
      <c r="E87" s="153">
        <f t="shared" si="69"/>
        <v>0</v>
      </c>
      <c r="F87" s="153">
        <f t="shared" si="70"/>
        <v>0</v>
      </c>
      <c r="G87" s="154">
        <f t="shared" si="71"/>
        <v>0</v>
      </c>
      <c r="H87" s="155" t="str">
        <f t="shared" si="80"/>
        <v/>
      </c>
      <c r="I87" s="156">
        <f t="shared" si="48"/>
        <v>0</v>
      </c>
      <c r="J87" s="155">
        <f t="shared" si="72"/>
        <v>0</v>
      </c>
      <c r="K87" s="156" t="e">
        <f t="shared" si="49"/>
        <v>#N/A</v>
      </c>
      <c r="L87" s="156" t="e">
        <f t="shared" si="50"/>
        <v>#N/A</v>
      </c>
      <c r="M87" s="156">
        <f t="shared" si="51"/>
        <v>0</v>
      </c>
      <c r="N87" s="156" t="e">
        <f t="shared" si="73"/>
        <v>#N/A</v>
      </c>
      <c r="O87" s="157"/>
      <c r="P87" s="667" t="s">
        <v>22</v>
      </c>
      <c r="Q87" s="668"/>
      <c r="R87" s="152">
        <f>EOMONTH(CONCATENATE("01.","01.",$P$76),10)</f>
        <v>1796</v>
      </c>
      <c r="S87" s="153">
        <f t="shared" si="74"/>
        <v>0</v>
      </c>
      <c r="T87" s="153">
        <f t="shared" si="75"/>
        <v>0</v>
      </c>
      <c r="U87" s="153">
        <f t="shared" si="52"/>
        <v>0</v>
      </c>
      <c r="V87" s="677">
        <f t="shared" si="53"/>
        <v>0</v>
      </c>
      <c r="W87" s="678"/>
      <c r="X87" s="155" t="str">
        <f t="shared" si="81"/>
        <v/>
      </c>
      <c r="Y87" s="156">
        <f t="shared" si="55"/>
        <v>0</v>
      </c>
      <c r="Z87" s="155">
        <f t="shared" si="76"/>
        <v>0</v>
      </c>
      <c r="AA87" s="156" t="e">
        <f t="shared" si="56"/>
        <v>#N/A</v>
      </c>
      <c r="AB87" s="156" t="e">
        <f t="shared" si="57"/>
        <v>#N/A</v>
      </c>
      <c r="AC87" s="156">
        <f t="shared" si="58"/>
        <v>0</v>
      </c>
      <c r="AD87" s="156" t="e">
        <f t="shared" si="77"/>
        <v>#N/A</v>
      </c>
      <c r="AE87" s="158"/>
      <c r="AF87" s="667" t="s">
        <v>22</v>
      </c>
      <c r="AG87" s="668"/>
      <c r="AH87" s="152">
        <f>EOMONTH(CONCATENATE("01.","01.",$AF$76),10)</f>
        <v>2161</v>
      </c>
      <c r="AI87" s="153">
        <f t="shared" si="59"/>
        <v>0</v>
      </c>
      <c r="AJ87" s="153">
        <f t="shared" si="60"/>
        <v>0</v>
      </c>
      <c r="AK87" s="153">
        <f t="shared" si="61"/>
        <v>0</v>
      </c>
      <c r="AL87" s="677">
        <f t="shared" si="62"/>
        <v>0</v>
      </c>
      <c r="AM87" s="678"/>
      <c r="AN87" s="155" t="str">
        <f t="shared" si="63"/>
        <v/>
      </c>
      <c r="AO87" s="156">
        <f t="shared" si="64"/>
        <v>0</v>
      </c>
      <c r="AP87" s="155">
        <f t="shared" si="78"/>
        <v>0</v>
      </c>
      <c r="AQ87" s="156" t="e">
        <f t="shared" si="65"/>
        <v>#N/A</v>
      </c>
      <c r="AR87" s="156" t="e">
        <f t="shared" si="66"/>
        <v>#N/A</v>
      </c>
      <c r="AS87" s="156">
        <f t="shared" si="67"/>
        <v>0</v>
      </c>
      <c r="AT87" s="156" t="e">
        <f t="shared" si="79"/>
        <v>#N/A</v>
      </c>
    </row>
    <row r="88" spans="2:47" ht="16.5" thickBot="1" x14ac:dyDescent="0.4">
      <c r="B88" s="151" t="s">
        <v>23</v>
      </c>
      <c r="C88" s="152">
        <f>EOMONTH(CONCATENATE("01.","01.",$B$76),11)</f>
        <v>1461</v>
      </c>
      <c r="D88" s="153">
        <f t="shared" si="68"/>
        <v>0</v>
      </c>
      <c r="E88" s="153">
        <f t="shared" si="69"/>
        <v>0</v>
      </c>
      <c r="F88" s="153">
        <f t="shared" si="70"/>
        <v>0</v>
      </c>
      <c r="G88" s="154">
        <f t="shared" si="71"/>
        <v>0</v>
      </c>
      <c r="H88" s="155" t="str">
        <f t="shared" si="80"/>
        <v/>
      </c>
      <c r="I88" s="156">
        <f t="shared" si="48"/>
        <v>0</v>
      </c>
      <c r="J88" s="155">
        <f t="shared" si="72"/>
        <v>0</v>
      </c>
      <c r="K88" s="156" t="e">
        <f t="shared" si="49"/>
        <v>#N/A</v>
      </c>
      <c r="L88" s="156" t="e">
        <f t="shared" si="50"/>
        <v>#N/A</v>
      </c>
      <c r="M88" s="156">
        <f t="shared" si="51"/>
        <v>0</v>
      </c>
      <c r="N88" s="156" t="e">
        <f t="shared" si="73"/>
        <v>#N/A</v>
      </c>
      <c r="O88" s="157"/>
      <c r="P88" s="667" t="s">
        <v>23</v>
      </c>
      <c r="Q88" s="668"/>
      <c r="R88" s="152">
        <f>EOMONTH(CONCATENATE("01.","01.",$P$76),11)</f>
        <v>1827</v>
      </c>
      <c r="S88" s="153">
        <f t="shared" si="74"/>
        <v>0</v>
      </c>
      <c r="T88" s="153">
        <f t="shared" si="75"/>
        <v>0</v>
      </c>
      <c r="U88" s="153">
        <f t="shared" si="52"/>
        <v>0</v>
      </c>
      <c r="V88" s="677">
        <f t="shared" si="53"/>
        <v>0</v>
      </c>
      <c r="W88" s="678"/>
      <c r="X88" s="155" t="str">
        <f t="shared" si="81"/>
        <v/>
      </c>
      <c r="Y88" s="156">
        <f t="shared" si="55"/>
        <v>0</v>
      </c>
      <c r="Z88" s="155">
        <f t="shared" si="76"/>
        <v>0</v>
      </c>
      <c r="AA88" s="156" t="e">
        <f t="shared" si="56"/>
        <v>#N/A</v>
      </c>
      <c r="AB88" s="156" t="e">
        <f t="shared" si="57"/>
        <v>#N/A</v>
      </c>
      <c r="AC88" s="156">
        <f t="shared" si="58"/>
        <v>0</v>
      </c>
      <c r="AD88" s="156" t="e">
        <f t="shared" si="77"/>
        <v>#N/A</v>
      </c>
      <c r="AE88" s="158"/>
      <c r="AF88" s="667" t="s">
        <v>23</v>
      </c>
      <c r="AG88" s="668"/>
      <c r="AH88" s="152">
        <f>EOMONTH(CONCATENATE("01.","01.",$AF$76),11)</f>
        <v>2192</v>
      </c>
      <c r="AI88" s="153">
        <f t="shared" si="59"/>
        <v>0</v>
      </c>
      <c r="AJ88" s="153">
        <f t="shared" si="60"/>
        <v>0</v>
      </c>
      <c r="AK88" s="153">
        <f t="shared" si="61"/>
        <v>0</v>
      </c>
      <c r="AL88" s="677">
        <f t="shared" si="62"/>
        <v>0</v>
      </c>
      <c r="AM88" s="678"/>
      <c r="AN88" s="155" t="str">
        <f t="shared" si="63"/>
        <v/>
      </c>
      <c r="AO88" s="156">
        <f t="shared" si="64"/>
        <v>0</v>
      </c>
      <c r="AP88" s="155">
        <f t="shared" si="78"/>
        <v>0</v>
      </c>
      <c r="AQ88" s="156" t="e">
        <f t="shared" si="65"/>
        <v>#N/A</v>
      </c>
      <c r="AR88" s="156" t="e">
        <f t="shared" si="66"/>
        <v>#N/A</v>
      </c>
      <c r="AS88" s="156">
        <f t="shared" si="67"/>
        <v>0</v>
      </c>
      <c r="AT88" s="156" t="e">
        <f t="shared" si="79"/>
        <v>#N/A</v>
      </c>
    </row>
    <row r="89" spans="2:47" ht="16.5" thickBot="1" x14ac:dyDescent="0.4">
      <c r="B89" s="187" t="s">
        <v>24</v>
      </c>
      <c r="C89" s="187"/>
      <c r="D89" s="187"/>
      <c r="E89" s="187"/>
      <c r="F89" s="187"/>
      <c r="G89" s="188">
        <f>SUM(G77:G88)</f>
        <v>0</v>
      </c>
      <c r="H89" s="189"/>
      <c r="I89" s="189">
        <f t="shared" ref="I89:N89" si="82">SUM(I77:I88)</f>
        <v>0</v>
      </c>
      <c r="J89" s="189">
        <f t="shared" si="82"/>
        <v>0</v>
      </c>
      <c r="K89" s="189" t="e">
        <f t="shared" si="82"/>
        <v>#N/A</v>
      </c>
      <c r="L89" s="189" t="e">
        <f t="shared" si="82"/>
        <v>#N/A</v>
      </c>
      <c r="M89" s="189">
        <f t="shared" si="82"/>
        <v>0</v>
      </c>
      <c r="N89" s="189" t="e">
        <f t="shared" si="82"/>
        <v>#N/A</v>
      </c>
      <c r="O89" s="450" t="s">
        <v>83</v>
      </c>
      <c r="P89" s="765" t="s">
        <v>24</v>
      </c>
      <c r="Q89" s="766"/>
      <c r="R89" s="190"/>
      <c r="S89" s="190"/>
      <c r="T89" s="190"/>
      <c r="U89" s="190"/>
      <c r="V89" s="763">
        <f>SUM(V77:V88)</f>
        <v>0</v>
      </c>
      <c r="W89" s="764"/>
      <c r="X89" s="191"/>
      <c r="Y89" s="191">
        <f t="shared" ref="Y89:AD89" si="83">SUM(Y77:Y88)</f>
        <v>0</v>
      </c>
      <c r="Z89" s="191">
        <f t="shared" si="83"/>
        <v>0</v>
      </c>
      <c r="AA89" s="191" t="e">
        <f t="shared" si="83"/>
        <v>#N/A</v>
      </c>
      <c r="AB89" s="191" t="e">
        <f t="shared" si="83"/>
        <v>#N/A</v>
      </c>
      <c r="AC89" s="191">
        <f t="shared" si="83"/>
        <v>0</v>
      </c>
      <c r="AD89" s="191" t="e">
        <f t="shared" si="83"/>
        <v>#N/A</v>
      </c>
      <c r="AE89" s="450" t="s">
        <v>83</v>
      </c>
      <c r="AF89" s="759" t="s">
        <v>24</v>
      </c>
      <c r="AG89" s="760"/>
      <c r="AH89" s="192"/>
      <c r="AI89" s="192"/>
      <c r="AJ89" s="192"/>
      <c r="AK89" s="192"/>
      <c r="AL89" s="761">
        <f>SUM(AL77:AL88)</f>
        <v>0</v>
      </c>
      <c r="AM89" s="762"/>
      <c r="AN89" s="193"/>
      <c r="AO89" s="193">
        <f t="shared" ref="AO89:AT89" si="84">SUM(AO77:AO88)</f>
        <v>0</v>
      </c>
      <c r="AP89" s="193">
        <f t="shared" si="84"/>
        <v>0</v>
      </c>
      <c r="AQ89" s="193" t="e">
        <f t="shared" si="84"/>
        <v>#N/A</v>
      </c>
      <c r="AR89" s="193" t="e">
        <f t="shared" si="84"/>
        <v>#N/A</v>
      </c>
      <c r="AS89" s="193">
        <f t="shared" si="84"/>
        <v>0</v>
      </c>
      <c r="AT89" s="193" t="e">
        <f t="shared" si="84"/>
        <v>#N/A</v>
      </c>
      <c r="AU89" s="450" t="s">
        <v>83</v>
      </c>
    </row>
    <row r="90" spans="2:47" ht="16.5" thickBot="1" x14ac:dyDescent="0.4">
      <c r="B90" s="137"/>
      <c r="C90" s="137"/>
      <c r="D90" s="137"/>
      <c r="E90" s="137"/>
      <c r="F90" s="137"/>
      <c r="G90" s="166" t="s">
        <v>25</v>
      </c>
      <c r="H90" s="167" t="e">
        <f>IF(AND(J43="ja",$X$6=TRUE),(AVERAGE(H83:H88))/12*COUNTIFS(G77:G88,"&gt;0"),IF(AND($X$6=TRUE,J43="nein"),(AVERAGE(H77:H88)/12)*COUNTIFS(G77:G88,"&gt;0"),IF(AND(OR($X$6="",$X$6=FALSE),J43="ja"),(AVERAGE(H83:H88))/12*COUNTIFS(G77:G88,"&gt;0"),0)))</f>
        <v>#DIV/0!</v>
      </c>
      <c r="I90" s="167"/>
      <c r="J90" s="249">
        <f t="shared" ref="J90" si="85">IFERROR((SUM(J77:J88)/COUNTIFS(J77:J88,"&gt;0")),0)</f>
        <v>0</v>
      </c>
      <c r="K90" s="249" t="e">
        <f>J90*AGBTR_Jahr4</f>
        <v>#N/A</v>
      </c>
      <c r="L90" s="249" t="e">
        <f>J90*VZunbDM4</f>
        <v>#N/A</v>
      </c>
      <c r="M90" s="447" t="s">
        <v>182</v>
      </c>
      <c r="N90" s="448" t="e">
        <f>SUM(J90:L90)</f>
        <v>#N/A</v>
      </c>
      <c r="O90" s="449" t="e">
        <f>N90*COUNTIFS(J77:J88,"&gt;0")</f>
        <v>#N/A</v>
      </c>
      <c r="V90" s="685" t="s">
        <v>25</v>
      </c>
      <c r="W90" s="686"/>
      <c r="X90" s="167" t="e">
        <f>IF(AND(P43="ja",$X$6=TRUE),(AVERAGE(X83:X88))/12*COUNTIFS(V77:W88,"&gt;0"),IF(AND($X$6=TRUE,P43="nein"),(AVERAGE(X77:X88)/12)*COUNTIFS(V77:W88,"&gt;0"),IF(AND(OR($X$6="",$X$6=FALSE),P43="ja"),(AVERAGE(X83:X88))/12*COUNTIFS(V77:W88,"&gt;0"),0)))</f>
        <v>#DIV/0!</v>
      </c>
      <c r="Y90" s="167"/>
      <c r="Z90" s="249">
        <f t="shared" ref="Z90" si="86">IFERROR((SUM(Z77:Z88)/COUNTIFS(Z77:Z88,"&gt;0")),0)</f>
        <v>0</v>
      </c>
      <c r="AA90" s="249" t="e">
        <f>Z90*AGBTR_Jahr5</f>
        <v>#N/A</v>
      </c>
      <c r="AB90" s="249" t="e">
        <f>Z90*VZunbDM5</f>
        <v>#N/A</v>
      </c>
      <c r="AC90" s="447" t="s">
        <v>182</v>
      </c>
      <c r="AD90" s="448" t="e">
        <f>SUM(Z90:AB90)</f>
        <v>#N/A</v>
      </c>
      <c r="AE90" s="449" t="e">
        <f>AD90*COUNTIFS(Z77:Z88,"&gt;0")</f>
        <v>#N/A</v>
      </c>
      <c r="AL90" s="685" t="s">
        <v>25</v>
      </c>
      <c r="AM90" s="686"/>
      <c r="AN90" s="167" t="e">
        <f>IF(AND(AB43="ja",$X$6=TRUE),(AVERAGE(AN83:AN88))/12*COUNTIFS(AL77:AM88,"&gt;0"),IF(AND($X$6=TRUE,AB43="nein"),(AVERAGE(AN77:AN88)/12)*COUNTIFS(AL77:AM88,"&gt;0"),IF(AND(OR($X$6="",$X$6=FALSE),AB43="ja"),(AVERAGE(AN83:AN88))/12*COUNTIFS(AL77:AM88,"&gt;0"),0)))</f>
        <v>#DIV/0!</v>
      </c>
      <c r="AO90" s="167"/>
      <c r="AP90" s="249">
        <f t="shared" ref="AP90" si="87">IFERROR((SUM(AP77:AP88)/COUNTIFS(AP77:AP88,"&gt;0")),0)</f>
        <v>0</v>
      </c>
      <c r="AQ90" s="249" t="e">
        <f>AP90*AGBTR_Jahr3</f>
        <v>#N/A</v>
      </c>
      <c r="AR90" s="249" t="e">
        <f>AP90*VZunbDM3</f>
        <v>#N/A</v>
      </c>
      <c r="AS90" s="447" t="s">
        <v>182</v>
      </c>
      <c r="AT90" s="448" t="e">
        <f>SUM(AP90:AR90)</f>
        <v>#N/A</v>
      </c>
      <c r="AU90" s="448" t="e">
        <f>SUM(AQ90:AS90)</f>
        <v>#N/A</v>
      </c>
    </row>
    <row r="91" spans="2:47" x14ac:dyDescent="0.35">
      <c r="Q91" s="138"/>
      <c r="R91" s="138"/>
      <c r="S91" s="138"/>
      <c r="T91" s="138"/>
      <c r="U91" s="138"/>
    </row>
    <row r="92" spans="2:47" ht="16.5" hidden="1" outlineLevel="1" thickBot="1" x14ac:dyDescent="0.4">
      <c r="B92" s="169" t="s">
        <v>107</v>
      </c>
      <c r="C92" s="169"/>
      <c r="D92" s="169"/>
      <c r="E92" s="169"/>
      <c r="F92" s="169"/>
      <c r="G92" s="170">
        <f>IFERROR((SUM(G77:G88)/COUNTIFS(G77:G88,"&gt;0")),0)</f>
        <v>0</v>
      </c>
      <c r="H92" s="171">
        <f>IFERROR((SUM(H78:H89)/COUNTIFS(H78:H89,"&gt;0")),0)</f>
        <v>0</v>
      </c>
      <c r="I92" s="171"/>
      <c r="J92" s="171">
        <f>IFERROR((SUM(J77:J88)/COUNTIFS(J77:J88,"&gt;0")),0)</f>
        <v>0</v>
      </c>
      <c r="K92" s="171">
        <f t="shared" ref="K92:N92" si="88">IFERROR((SUM(K77:K88)/COUNTIFS(K77:K88,"&gt;0")),0)</f>
        <v>0</v>
      </c>
      <c r="L92" s="171">
        <f t="shared" si="88"/>
        <v>0</v>
      </c>
      <c r="M92" s="171">
        <f t="shared" si="88"/>
        <v>0</v>
      </c>
      <c r="N92" s="171">
        <f t="shared" si="88"/>
        <v>0</v>
      </c>
      <c r="O92" s="149"/>
      <c r="P92" s="681" t="s">
        <v>103</v>
      </c>
      <c r="Q92" s="682"/>
      <c r="R92" s="172"/>
      <c r="S92" s="172"/>
      <c r="T92" s="172"/>
      <c r="U92" s="172"/>
      <c r="V92" s="683">
        <f>IFERROR((SUM(V77:W88)/COUNTIFS(V77:W88,"&gt;0")),0)</f>
        <v>0</v>
      </c>
      <c r="W92" s="684"/>
      <c r="X92" s="173" t="e">
        <f>IF($AD$8="ja",((AVERAGE(X78:X89))/12)*COUNTIFS(V78:W89,"&gt;0"),((AVERAGE(X84:X89))/12)*COUNTIFS(V78:W89,"&gt;0"))</f>
        <v>#DIV/0!</v>
      </c>
      <c r="Y92" s="173"/>
      <c r="Z92" s="171">
        <f>IFERROR((SUM(Z77:Z88)/COUNTIFS(Z77:Z88,"&gt;0")),0)</f>
        <v>0</v>
      </c>
      <c r="AA92" s="171">
        <f t="shared" ref="AA92:AD92" si="89">IFERROR((SUM(AA77:AA88)/COUNTIFS(AA77:AA88,"&gt;0")),0)</f>
        <v>0</v>
      </c>
      <c r="AB92" s="171">
        <f t="shared" si="89"/>
        <v>0</v>
      </c>
      <c r="AC92" s="171">
        <f t="shared" si="89"/>
        <v>0</v>
      </c>
      <c r="AD92" s="171">
        <f t="shared" si="89"/>
        <v>0</v>
      </c>
      <c r="AF92" s="681" t="s">
        <v>103</v>
      </c>
      <c r="AG92" s="682"/>
      <c r="AH92" s="172"/>
      <c r="AI92" s="172"/>
      <c r="AJ92" s="172"/>
      <c r="AK92" s="172"/>
      <c r="AL92" s="683">
        <f>IFERROR((SUM(AL77:AM88)/COUNTIFS(AL77:AM88,"&gt;0")),0)</f>
        <v>0</v>
      </c>
      <c r="AM92" s="684"/>
      <c r="AN92" s="173" t="e">
        <f>IF($AD$8="ja",((AVERAGE(AN78:AN89))/12)*COUNTIFS(AL78:AM89,"&gt;0"),((AVERAGE(AN84:AN89))/12)*COUNTIFS(AL78:AM89,"&gt;0"))</f>
        <v>#DIV/0!</v>
      </c>
      <c r="AO92" s="173"/>
      <c r="AP92" s="171">
        <f>IFERROR((SUM(AP77:AP88)/COUNTIFS(AP77:AP88,"&gt;0")),0)</f>
        <v>0</v>
      </c>
      <c r="AQ92" s="171">
        <f t="shared" ref="AQ92:AT92" si="90">IFERROR((SUM(AQ77:AQ88)/COUNTIFS(AQ77:AQ88,"&gt;0")),0)</f>
        <v>0</v>
      </c>
      <c r="AR92" s="171">
        <f t="shared" si="90"/>
        <v>0</v>
      </c>
      <c r="AS92" s="171">
        <f t="shared" si="90"/>
        <v>0</v>
      </c>
      <c r="AT92" s="171">
        <f t="shared" si="90"/>
        <v>0</v>
      </c>
    </row>
    <row r="93" spans="2:47" collapsed="1" x14ac:dyDescent="0.35"/>
    <row r="96" spans="2:47" ht="45.75" customHeight="1" thickBot="1" x14ac:dyDescent="0.4">
      <c r="B96" s="666" t="s">
        <v>178</v>
      </c>
      <c r="C96" s="666"/>
      <c r="D96" s="666"/>
      <c r="E96" s="666"/>
      <c r="F96" s="666"/>
      <c r="G96" s="666"/>
      <c r="H96" s="666"/>
      <c r="I96" s="666"/>
      <c r="J96" s="666"/>
      <c r="K96" s="666"/>
      <c r="L96" s="666"/>
      <c r="P96" s="691" t="s">
        <v>26</v>
      </c>
      <c r="Q96" s="691"/>
      <c r="R96" s="691"/>
      <c r="S96" s="691"/>
      <c r="T96" s="691"/>
      <c r="U96" s="691"/>
      <c r="V96" s="691"/>
      <c r="W96" s="691"/>
      <c r="X96" s="204"/>
      <c r="Y96" s="204"/>
      <c r="Z96" s="690" t="e">
        <f>AD89+N89+AD69+N69+AT69+AT89</f>
        <v>#N/A</v>
      </c>
      <c r="AA96" s="690"/>
      <c r="AB96" s="690"/>
      <c r="AC96" s="690"/>
    </row>
    <row r="97" spans="26:32" ht="16.5" thickTop="1" x14ac:dyDescent="0.35"/>
    <row r="99" spans="26:32" ht="19.5" customHeight="1" x14ac:dyDescent="0.35"/>
    <row r="103" spans="26:32" ht="42.75" customHeight="1" outlineLevel="2" thickBot="1" x14ac:dyDescent="0.4">
      <c r="Z103" s="88" t="s">
        <v>112</v>
      </c>
      <c r="AB103" s="434"/>
      <c r="AC103" s="434"/>
      <c r="AD103" s="434"/>
      <c r="AE103" s="434"/>
      <c r="AF103" s="434"/>
    </row>
    <row r="104" spans="26:32" ht="45" customHeight="1" outlineLevel="2" x14ac:dyDescent="0.35">
      <c r="Z104" s="195">
        <f>J20</f>
        <v>1900</v>
      </c>
      <c r="AA104" s="196">
        <f>Z104+1</f>
        <v>1901</v>
      </c>
      <c r="AB104" s="197">
        <f>AA104+1</f>
        <v>1902</v>
      </c>
      <c r="AC104" s="198">
        <f>AB104+1</f>
        <v>1903</v>
      </c>
      <c r="AD104" s="199">
        <f>AC104+1</f>
        <v>1904</v>
      </c>
      <c r="AE104" s="200">
        <f>AD104+1</f>
        <v>1905</v>
      </c>
    </row>
    <row r="105" spans="26:32" ht="39" customHeight="1" outlineLevel="2" thickBot="1" x14ac:dyDescent="0.4">
      <c r="Z105" s="201" t="e">
        <f>N69</f>
        <v>#VALUE!</v>
      </c>
      <c r="AA105" s="202" t="e">
        <f>AD69</f>
        <v>#N/A</v>
      </c>
      <c r="AB105" s="202" t="e">
        <f>AT69</f>
        <v>#N/A</v>
      </c>
      <c r="AC105" s="202" t="e">
        <f>N89</f>
        <v>#N/A</v>
      </c>
      <c r="AD105" s="202" t="e">
        <f>AD89</f>
        <v>#N/A</v>
      </c>
      <c r="AE105" s="203" t="e">
        <f>AT89</f>
        <v>#N/A</v>
      </c>
    </row>
    <row r="106" spans="26:32" outlineLevel="2" x14ac:dyDescent="0.35"/>
  </sheetData>
  <sheetProtection formatCells="0" formatColumns="0" formatRows="0" insertColumns="0" insertRows="0" insertHyperlinks="0" deleteColumns="0" deleteRows="0" sort="0" autoFilter="0" pivotTables="0"/>
  <mergeCells count="299">
    <mergeCell ref="W22:Y22"/>
    <mergeCell ref="V24:Y24"/>
    <mergeCell ref="V25:Y25"/>
    <mergeCell ref="V26:Y26"/>
    <mergeCell ref="V27:Y27"/>
    <mergeCell ref="V28:Y28"/>
    <mergeCell ref="V30:Y30"/>
    <mergeCell ref="V31:Y31"/>
    <mergeCell ref="V32:Y32"/>
    <mergeCell ref="B51:G51"/>
    <mergeCell ref="J24:K24"/>
    <mergeCell ref="L24:M24"/>
    <mergeCell ref="N24:O24"/>
    <mergeCell ref="P24:Q24"/>
    <mergeCell ref="Z24:AA24"/>
    <mergeCell ref="I5:K5"/>
    <mergeCell ref="AE5:AG5"/>
    <mergeCell ref="I6:K6"/>
    <mergeCell ref="AE6:AG6"/>
    <mergeCell ref="J20:O20"/>
    <mergeCell ref="P20:AA20"/>
    <mergeCell ref="AB20:AG20"/>
    <mergeCell ref="AB24:AC24"/>
    <mergeCell ref="AD24:AE24"/>
    <mergeCell ref="AF24:AG24"/>
    <mergeCell ref="AD25:AE25"/>
    <mergeCell ref="AF25:AG25"/>
    <mergeCell ref="J26:K26"/>
    <mergeCell ref="L26:M26"/>
    <mergeCell ref="N26:O26"/>
    <mergeCell ref="P26:Q26"/>
    <mergeCell ref="Z26:AA26"/>
    <mergeCell ref="AB26:AC26"/>
    <mergeCell ref="AD26:AE26"/>
    <mergeCell ref="AF26:AG26"/>
    <mergeCell ref="J25:K25"/>
    <mergeCell ref="L25:M25"/>
    <mergeCell ref="N25:O25"/>
    <mergeCell ref="P25:Q25"/>
    <mergeCell ref="Z25:AA25"/>
    <mergeCell ref="AB25:AC25"/>
    <mergeCell ref="J27:K27"/>
    <mergeCell ref="L27:M27"/>
    <mergeCell ref="N27:O27"/>
    <mergeCell ref="P27:Q27"/>
    <mergeCell ref="Z27:AA27"/>
    <mergeCell ref="AB27:AC27"/>
    <mergeCell ref="AD27:AE27"/>
    <mergeCell ref="AF27:AG27"/>
    <mergeCell ref="AB28:AC28"/>
    <mergeCell ref="AD28:AE28"/>
    <mergeCell ref="AF28:AG28"/>
    <mergeCell ref="J29:O29"/>
    <mergeCell ref="P29:AA29"/>
    <mergeCell ref="AB29:AG29"/>
    <mergeCell ref="J28:K28"/>
    <mergeCell ref="L28:M28"/>
    <mergeCell ref="N28:O28"/>
    <mergeCell ref="P28:Q28"/>
    <mergeCell ref="Z28:AA28"/>
    <mergeCell ref="AB30:AC30"/>
    <mergeCell ref="AD30:AE30"/>
    <mergeCell ref="AF30:AG30"/>
    <mergeCell ref="J31:K31"/>
    <mergeCell ref="L31:M31"/>
    <mergeCell ref="N31:O31"/>
    <mergeCell ref="P31:Q31"/>
    <mergeCell ref="Z31:AA31"/>
    <mergeCell ref="AB31:AC31"/>
    <mergeCell ref="J30:K30"/>
    <mergeCell ref="L30:M30"/>
    <mergeCell ref="N30:O30"/>
    <mergeCell ref="P30:Q30"/>
    <mergeCell ref="Z30:AA30"/>
    <mergeCell ref="AD31:AE31"/>
    <mergeCell ref="AF31:AG31"/>
    <mergeCell ref="J32:K32"/>
    <mergeCell ref="L32:M32"/>
    <mergeCell ref="N32:O32"/>
    <mergeCell ref="P32:Q32"/>
    <mergeCell ref="Z32:AA32"/>
    <mergeCell ref="AB32:AC32"/>
    <mergeCell ref="AD32:AE32"/>
    <mergeCell ref="AF32:AG32"/>
    <mergeCell ref="J34:O34"/>
    <mergeCell ref="P34:AA34"/>
    <mergeCell ref="AB34:AG34"/>
    <mergeCell ref="J38:K38"/>
    <mergeCell ref="L38:M38"/>
    <mergeCell ref="N38:O38"/>
    <mergeCell ref="P38:Q38"/>
    <mergeCell ref="Z38:AA38"/>
    <mergeCell ref="AB38:AC38"/>
    <mergeCell ref="AD38:AE38"/>
    <mergeCell ref="AF38:AG38"/>
    <mergeCell ref="W35:Y35"/>
    <mergeCell ref="W36:Y36"/>
    <mergeCell ref="V38:Y38"/>
    <mergeCell ref="J39:K39"/>
    <mergeCell ref="L39:M39"/>
    <mergeCell ref="N39:O39"/>
    <mergeCell ref="P39:Q39"/>
    <mergeCell ref="Z39:AA39"/>
    <mergeCell ref="AB39:AC39"/>
    <mergeCell ref="AD39:AE39"/>
    <mergeCell ref="AF39:AG39"/>
    <mergeCell ref="V39:Y39"/>
    <mergeCell ref="J40:K40"/>
    <mergeCell ref="L40:M40"/>
    <mergeCell ref="N40:O40"/>
    <mergeCell ref="P40:Q40"/>
    <mergeCell ref="Z40:AA40"/>
    <mergeCell ref="AB40:AC40"/>
    <mergeCell ref="AD40:AE40"/>
    <mergeCell ref="AF40:AG40"/>
    <mergeCell ref="V40:Y40"/>
    <mergeCell ref="J41:K41"/>
    <mergeCell ref="L41:M41"/>
    <mergeCell ref="N41:O41"/>
    <mergeCell ref="P41:Q41"/>
    <mergeCell ref="Z41:AA41"/>
    <mergeCell ref="AB41:AC41"/>
    <mergeCell ref="AD41:AE41"/>
    <mergeCell ref="AF41:AG41"/>
    <mergeCell ref="V41:Y41"/>
    <mergeCell ref="AB42:AC42"/>
    <mergeCell ref="AD42:AE42"/>
    <mergeCell ref="AF42:AG42"/>
    <mergeCell ref="J43:O43"/>
    <mergeCell ref="P43:AA43"/>
    <mergeCell ref="AB43:AG43"/>
    <mergeCell ref="J42:K42"/>
    <mergeCell ref="L42:M42"/>
    <mergeCell ref="N42:O42"/>
    <mergeCell ref="P42:Q42"/>
    <mergeCell ref="Z42:AA42"/>
    <mergeCell ref="V42:Y42"/>
    <mergeCell ref="AB44:AC44"/>
    <mergeCell ref="AD44:AE44"/>
    <mergeCell ref="AF44:AG44"/>
    <mergeCell ref="J45:K45"/>
    <mergeCell ref="L45:M45"/>
    <mergeCell ref="N45:O45"/>
    <mergeCell ref="P45:Q45"/>
    <mergeCell ref="Z45:AA45"/>
    <mergeCell ref="AB45:AC45"/>
    <mergeCell ref="J44:K44"/>
    <mergeCell ref="L44:M44"/>
    <mergeCell ref="N44:O44"/>
    <mergeCell ref="P44:Q44"/>
    <mergeCell ref="Z44:AA44"/>
    <mergeCell ref="AD45:AE45"/>
    <mergeCell ref="AF45:AG45"/>
    <mergeCell ref="V44:Y44"/>
    <mergeCell ref="V45:Y45"/>
    <mergeCell ref="J46:K46"/>
    <mergeCell ref="L46:M46"/>
    <mergeCell ref="N46:O46"/>
    <mergeCell ref="P46:Q46"/>
    <mergeCell ref="Z46:AA46"/>
    <mergeCell ref="AB46:AC46"/>
    <mergeCell ref="AD46:AE46"/>
    <mergeCell ref="P57:Q57"/>
    <mergeCell ref="V57:W57"/>
    <mergeCell ref="V46:Y46"/>
    <mergeCell ref="AF57:AG57"/>
    <mergeCell ref="AL57:AM57"/>
    <mergeCell ref="P58:Q58"/>
    <mergeCell ref="V58:W58"/>
    <mergeCell ref="AF58:AG58"/>
    <mergeCell ref="AL58:AM58"/>
    <mergeCell ref="AF46:AG46"/>
    <mergeCell ref="P55:Q55"/>
    <mergeCell ref="V55:W55"/>
    <mergeCell ref="AF55:AG55"/>
    <mergeCell ref="AL55:AM55"/>
    <mergeCell ref="P56:Q56"/>
    <mergeCell ref="V56:W56"/>
    <mergeCell ref="AF56:AG56"/>
    <mergeCell ref="AL56:AM56"/>
    <mergeCell ref="P61:Q61"/>
    <mergeCell ref="V61:W61"/>
    <mergeCell ref="AF61:AG61"/>
    <mergeCell ref="AL61:AM61"/>
    <mergeCell ref="P62:Q62"/>
    <mergeCell ref="V62:W62"/>
    <mergeCell ref="AF62:AG62"/>
    <mergeCell ref="AL62:AM62"/>
    <mergeCell ref="P59:Q59"/>
    <mergeCell ref="V59:W59"/>
    <mergeCell ref="AF59:AG59"/>
    <mergeCell ref="AL59:AM59"/>
    <mergeCell ref="P60:Q60"/>
    <mergeCell ref="V60:W60"/>
    <mergeCell ref="AF60:AG60"/>
    <mergeCell ref="AL60:AM60"/>
    <mergeCell ref="P65:Q65"/>
    <mergeCell ref="V65:W65"/>
    <mergeCell ref="AF65:AG65"/>
    <mergeCell ref="AL65:AM65"/>
    <mergeCell ref="P66:Q66"/>
    <mergeCell ref="V66:W66"/>
    <mergeCell ref="AF66:AG66"/>
    <mergeCell ref="AL66:AM66"/>
    <mergeCell ref="P63:Q63"/>
    <mergeCell ref="V63:W63"/>
    <mergeCell ref="AF63:AG63"/>
    <mergeCell ref="AL63:AM63"/>
    <mergeCell ref="P64:Q64"/>
    <mergeCell ref="V64:W64"/>
    <mergeCell ref="AF64:AG64"/>
    <mergeCell ref="AL64:AM64"/>
    <mergeCell ref="P69:Q69"/>
    <mergeCell ref="V69:W69"/>
    <mergeCell ref="AF69:AG69"/>
    <mergeCell ref="AL69:AM69"/>
    <mergeCell ref="V70:W70"/>
    <mergeCell ref="AL70:AM70"/>
    <mergeCell ref="P67:Q67"/>
    <mergeCell ref="V67:W67"/>
    <mergeCell ref="AF67:AG67"/>
    <mergeCell ref="AL67:AM67"/>
    <mergeCell ref="P68:Q68"/>
    <mergeCell ref="V68:W68"/>
    <mergeCell ref="AF68:AG68"/>
    <mergeCell ref="AL68:AM68"/>
    <mergeCell ref="P76:Q76"/>
    <mergeCell ref="V76:W76"/>
    <mergeCell ref="AF76:AG76"/>
    <mergeCell ref="AL76:AM76"/>
    <mergeCell ref="P77:Q77"/>
    <mergeCell ref="V77:W77"/>
    <mergeCell ref="AF77:AG77"/>
    <mergeCell ref="AL77:AM77"/>
    <mergeCell ref="P72:Q72"/>
    <mergeCell ref="V72:W72"/>
    <mergeCell ref="AF72:AG72"/>
    <mergeCell ref="AL72:AM72"/>
    <mergeCell ref="P75:Q75"/>
    <mergeCell ref="V75:W75"/>
    <mergeCell ref="AF75:AG75"/>
    <mergeCell ref="AL75:AM75"/>
    <mergeCell ref="P80:Q80"/>
    <mergeCell ref="V80:W80"/>
    <mergeCell ref="AF80:AG80"/>
    <mergeCell ref="AL80:AM80"/>
    <mergeCell ref="P81:Q81"/>
    <mergeCell ref="V81:W81"/>
    <mergeCell ref="AF81:AG81"/>
    <mergeCell ref="AL81:AM81"/>
    <mergeCell ref="P78:Q78"/>
    <mergeCell ref="V78:W78"/>
    <mergeCell ref="AF78:AG78"/>
    <mergeCell ref="AL78:AM78"/>
    <mergeCell ref="P79:Q79"/>
    <mergeCell ref="V79:W79"/>
    <mergeCell ref="AF79:AG79"/>
    <mergeCell ref="AL79:AM79"/>
    <mergeCell ref="P84:Q84"/>
    <mergeCell ref="V84:W84"/>
    <mergeCell ref="AF84:AG84"/>
    <mergeCell ref="AL84:AM84"/>
    <mergeCell ref="P85:Q85"/>
    <mergeCell ref="V85:W85"/>
    <mergeCell ref="AF85:AG85"/>
    <mergeCell ref="AL85:AM85"/>
    <mergeCell ref="P82:Q82"/>
    <mergeCell ref="V82:W82"/>
    <mergeCell ref="AF82:AG82"/>
    <mergeCell ref="AL82:AM82"/>
    <mergeCell ref="P83:Q83"/>
    <mergeCell ref="V83:W83"/>
    <mergeCell ref="AF83:AG83"/>
    <mergeCell ref="AL83:AM83"/>
    <mergeCell ref="P88:Q88"/>
    <mergeCell ref="V88:W88"/>
    <mergeCell ref="AF88:AG88"/>
    <mergeCell ref="AL88:AM88"/>
    <mergeCell ref="P89:Q89"/>
    <mergeCell ref="V89:W89"/>
    <mergeCell ref="AF89:AG89"/>
    <mergeCell ref="AL89:AM89"/>
    <mergeCell ref="P86:Q86"/>
    <mergeCell ref="V86:W86"/>
    <mergeCell ref="AF86:AG86"/>
    <mergeCell ref="AL86:AM86"/>
    <mergeCell ref="P87:Q87"/>
    <mergeCell ref="V87:W87"/>
    <mergeCell ref="AF87:AG87"/>
    <mergeCell ref="AL87:AM87"/>
    <mergeCell ref="B96:L96"/>
    <mergeCell ref="P96:W96"/>
    <mergeCell ref="Z96:AC96"/>
    <mergeCell ref="V90:W90"/>
    <mergeCell ref="AL90:AM90"/>
    <mergeCell ref="P92:Q92"/>
    <mergeCell ref="V92:W92"/>
    <mergeCell ref="AF92:AG92"/>
    <mergeCell ref="AL92:AM92"/>
  </mergeCells>
  <conditionalFormatting sqref="W6">
    <cfRule type="expression" dxfId="30" priority="15">
      <formula>ISBLANK($W$6)</formula>
    </cfRule>
  </conditionalFormatting>
  <conditionalFormatting sqref="AD45:AE45 AD31:AE31 L31:M31 L45:M45">
    <cfRule type="cellIs" dxfId="29" priority="12" operator="equal">
      <formula>0</formula>
    </cfRule>
  </conditionalFormatting>
  <conditionalFormatting sqref="M6">
    <cfRule type="expression" dxfId="28" priority="9">
      <formula>ISBLANK($M$6)</formula>
    </cfRule>
    <cfRule type="expression" dxfId="27" priority="10">
      <formula>ISBLANK($M$6)</formula>
    </cfRule>
  </conditionalFormatting>
  <conditionalFormatting sqref="N6">
    <cfRule type="expression" dxfId="26" priority="8">
      <formula>ISBLANK($N$6)</formula>
    </cfRule>
  </conditionalFormatting>
  <conditionalFormatting sqref="P6">
    <cfRule type="expression" dxfId="25" priority="7">
      <formula>ISBLANK($P$6)</formula>
    </cfRule>
  </conditionalFormatting>
  <conditionalFormatting sqref="Q6">
    <cfRule type="expression" dxfId="24" priority="6">
      <formula>ISBLANK($Q$6)</formula>
    </cfRule>
  </conditionalFormatting>
  <conditionalFormatting sqref="V6">
    <cfRule type="expression" dxfId="23" priority="5">
      <formula>ISBLANK($V$6)</formula>
    </cfRule>
  </conditionalFormatting>
  <conditionalFormatting sqref="O10">
    <cfRule type="expression" dxfId="22" priority="4">
      <formula>ISBLANK($O$8)</formula>
    </cfRule>
  </conditionalFormatting>
  <conditionalFormatting sqref="O8">
    <cfRule type="expression" dxfId="21" priority="3">
      <formula>ISBLANK($O$8)</formula>
    </cfRule>
  </conditionalFormatting>
  <conditionalFormatting sqref="V31">
    <cfRule type="cellIs" dxfId="20" priority="2" operator="equal">
      <formula>0</formula>
    </cfRule>
  </conditionalFormatting>
  <conditionalFormatting sqref="V45">
    <cfRule type="cellIs" dxfId="19" priority="1" operator="equal">
      <formula>0</formula>
    </cfRule>
  </conditionalFormatting>
  <dataValidations count="5">
    <dataValidation operator="lessThan" allowBlank="1" showInputMessage="1" showErrorMessage="1" sqref="Z10 W8" xr:uid="{B885BFBB-63FB-4989-93DB-83031818F0D5}"/>
    <dataValidation type="whole" operator="lessThan" allowBlank="1" showInputMessage="1" showErrorMessage="1" sqref="W11" xr:uid="{720864FB-FFBA-4E66-BF4D-2F809A1B07C3}">
      <formula1>101</formula1>
    </dataValidation>
    <dataValidation errorStyle="warning" operator="lessThan" allowBlank="1" showInputMessage="1" showErrorMessage="1" sqref="W6:W7 W9" xr:uid="{F69BDE1A-613E-4DA4-A206-A822CB293DE2}"/>
    <dataValidation type="date" allowBlank="1" showInputMessage="1" showErrorMessage="1" sqref="V6:V7 M6:N7 R22:U22 AF22:AG22 N22:O22 X22:AA22 J22" xr:uid="{40744FB2-BAFC-4857-8BD1-5D0A90FA1D1D}">
      <formula1>36526</formula1>
      <formula2>401768</formula2>
    </dataValidation>
    <dataValidation type="date" allowBlank="1" showInputMessage="1" showErrorMessage="1" sqref="R36:U36 X36:AA36 AF36:AG36 N36:O36" xr:uid="{B7BB7E72-29C1-43DA-A1BC-250DF4EFC3B1}">
      <formula1>36526</formula1>
      <formula2>2958465</formula2>
    </dataValidation>
  </dataValidations>
  <printOptions horizontalCentered="1"/>
  <pageMargins left="0.7" right="0.7" top="0.75" bottom="0.75" header="0.3" footer="0.3"/>
  <pageSetup paperSize="9" scale="28" orientation="landscape" r:id="rId1"/>
  <headerFooter>
    <oddHeader xml:space="preserve">&amp;L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0706" r:id="rId4" name="Check Box 2">
              <controlPr defaultSize="0" autoFill="0" autoLine="0" autoPict="0" altText="kalkulatoriche Tariferhöhung berücksichtigen">
                <anchor moveWithCells="1">
                  <from>
                    <xdr:col>27</xdr:col>
                    <xdr:colOff>400050</xdr:colOff>
                    <xdr:row>4</xdr:row>
                    <xdr:rowOff>66675</xdr:rowOff>
                  </from>
                  <to>
                    <xdr:col>29</xdr:col>
                    <xdr:colOff>161925</xdr:colOff>
                    <xdr:row>4</xdr:row>
                    <xdr:rowOff>571500</xdr:rowOff>
                  </to>
                </anchor>
              </controlPr>
            </control>
          </mc:Choice>
        </mc:AlternateContent>
        <mc:AlternateContent xmlns:mc="http://schemas.openxmlformats.org/markup-compatibility/2006">
          <mc:Choice Requires="x14">
            <control shapeId="200707" r:id="rId5" name="Check Box 3">
              <controlPr defaultSize="0" autoFill="0" autoLine="0" autoPict="0" altText="unbefristet Beschäftigt">
                <anchor moveWithCells="1">
                  <from>
                    <xdr:col>25</xdr:col>
                    <xdr:colOff>333375</xdr:colOff>
                    <xdr:row>5</xdr:row>
                    <xdr:rowOff>133350</xdr:rowOff>
                  </from>
                  <to>
                    <xdr:col>27</xdr:col>
                    <xdr:colOff>95250</xdr:colOff>
                    <xdr:row>10</xdr:row>
                    <xdr:rowOff>66675</xdr:rowOff>
                  </to>
                </anchor>
              </controlPr>
            </control>
          </mc:Choice>
        </mc:AlternateContent>
        <mc:AlternateContent xmlns:mc="http://schemas.openxmlformats.org/markup-compatibility/2006">
          <mc:Choice Requires="x14">
            <control shapeId="200708" r:id="rId6" name="Check Box 4">
              <controlPr defaultSize="0" autoFill="0" autoLine="0" autoPict="0" altText="Einmalzahlung (EZ)">
                <anchor moveWithCells="1">
                  <from>
                    <xdr:col>27</xdr:col>
                    <xdr:colOff>419100</xdr:colOff>
                    <xdr:row>5</xdr:row>
                    <xdr:rowOff>133350</xdr:rowOff>
                  </from>
                  <to>
                    <xdr:col>29</xdr:col>
                    <xdr:colOff>180975</xdr:colOff>
                    <xdr:row>10</xdr:row>
                    <xdr:rowOff>57150</xdr:rowOff>
                  </to>
                </anchor>
              </controlPr>
            </control>
          </mc:Choice>
        </mc:AlternateContent>
        <mc:AlternateContent xmlns:mc="http://schemas.openxmlformats.org/markup-compatibility/2006">
          <mc:Choice Requires="x14">
            <control shapeId="200715" r:id="rId7" name="Check Box 11">
              <controlPr defaultSize="0" autoFill="0" autoLine="0" autoPict="0" altText="Anteilige JSZ berechnen_x000a_">
                <anchor moveWithCells="1">
                  <from>
                    <xdr:col>25</xdr:col>
                    <xdr:colOff>304800</xdr:colOff>
                    <xdr:row>4</xdr:row>
                    <xdr:rowOff>38100</xdr:rowOff>
                  </from>
                  <to>
                    <xdr:col>27</xdr:col>
                    <xdr:colOff>76200</xdr:colOff>
                    <xdr:row>4</xdr:row>
                    <xdr:rowOff>552450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CE147B4D-CAAF-4D28-BB89-09FFBDF6E6C7}">
          <x14:formula1>
            <xm:f>'DROP DOWN'!$G$3:$G$22</xm:f>
          </x14:formula1>
          <xm:sqref>N25:O25 P6:P7 Z25:AA25 AF25:AG25 Z39:AA39 AF39:AG39 N39:O39</xm:sqref>
        </x14:dataValidation>
        <x14:dataValidation type="list" allowBlank="1" showInputMessage="1" showErrorMessage="1" xr:uid="{64206199-8D78-446B-9EAC-776D9992C8D7}">
          <x14:formula1>
            <xm:f>'DROP DOWN'!$H$3:$H$9</xm:f>
          </x14:formula1>
          <xm:sqref>N26:O26 N40:O40 Z26:AA26 AF26:AG26 AF40:AG40 Z40:AA40 R6:R7 Q6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7">
    <tabColor theme="7" tint="0.39997558519241921"/>
    <pageSetUpPr fitToPage="1"/>
  </sheetPr>
  <dimension ref="A2:AQ92"/>
  <sheetViews>
    <sheetView showGridLines="0" zoomScale="85" zoomScaleNormal="85" workbookViewId="0">
      <selection activeCell="I7" sqref="I7"/>
    </sheetView>
  </sheetViews>
  <sheetFormatPr baseColWidth="10" defaultColWidth="11.42578125" defaultRowHeight="15.75" outlineLevelRow="1" outlineLevelCol="1" x14ac:dyDescent="0.35"/>
  <cols>
    <col min="1" max="1" width="4.7109375" style="58" customWidth="1"/>
    <col min="2" max="2" width="25" style="58" customWidth="1"/>
    <col min="3" max="3" width="25.140625" style="58" hidden="1" customWidth="1" outlineLevel="1"/>
    <col min="4" max="5" width="12.7109375" style="58" hidden="1" customWidth="1" outlineLevel="1"/>
    <col min="6" max="6" width="29.7109375" style="58" customWidth="1" collapsed="1"/>
    <col min="7" max="8" width="13.42578125" style="58" customWidth="1"/>
    <col min="9" max="9" width="13.7109375" style="58" customWidth="1"/>
    <col min="10" max="10" width="14.140625" style="58" customWidth="1"/>
    <col min="11" max="12" width="13.7109375" style="58" customWidth="1"/>
    <col min="13" max="15" width="13.7109375" style="58" hidden="1" customWidth="1" outlineLevel="1"/>
    <col min="16" max="16" width="14.28515625" style="58" customWidth="1" collapsed="1"/>
    <col min="17" max="17" width="15.140625" style="58" customWidth="1"/>
    <col min="18" max="23" width="13.7109375" style="58" customWidth="1"/>
    <col min="24" max="24" width="18.85546875" style="58" hidden="1" customWidth="1" outlineLevel="1"/>
    <col min="25" max="25" width="28.140625" style="58" hidden="1" customWidth="1" outlineLevel="1"/>
    <col min="26" max="26" width="16.7109375" style="58" hidden="1" customWidth="1" outlineLevel="1"/>
    <col min="27" max="27" width="13.7109375" style="58" customWidth="1" collapsed="1"/>
    <col min="28" max="28" width="15.85546875" style="58" customWidth="1"/>
    <col min="29" max="29" width="13.7109375" style="58" customWidth="1"/>
    <col min="30" max="30" width="15.85546875" style="58" customWidth="1"/>
    <col min="31" max="31" width="13.7109375" style="58" customWidth="1"/>
    <col min="32" max="16384" width="11.42578125" style="58"/>
  </cols>
  <sheetData>
    <row r="2" spans="1:31" ht="31.5" x14ac:dyDescent="0.6">
      <c r="B2" s="323" t="s">
        <v>212</v>
      </c>
      <c r="I2" s="61"/>
      <c r="J2" s="84"/>
      <c r="K2" s="61"/>
      <c r="M2" s="61"/>
      <c r="N2" s="61"/>
      <c r="O2" s="61"/>
      <c r="P2" s="61"/>
      <c r="Q2" s="61"/>
      <c r="S2" s="63"/>
    </row>
    <row r="3" spans="1:31" ht="69.75" customHeight="1" thickBot="1" x14ac:dyDescent="0.4">
      <c r="B3" s="394" t="str">
        <f>'HR-DM (U3,U4,U5AUF)'!B3</f>
        <v>Stand: 03.06.2026 (BITTE AKTUELLE VERSION NUTZEN - ZURZEIT VERSION V06)</v>
      </c>
      <c r="I3" s="61"/>
      <c r="J3" s="84"/>
      <c r="K3" s="61"/>
      <c r="M3" s="61"/>
      <c r="N3" s="61"/>
      <c r="O3" s="61"/>
      <c r="P3" s="61"/>
      <c r="Q3" s="61"/>
      <c r="S3" s="63"/>
    </row>
    <row r="4" spans="1:31" ht="31.5" customHeight="1" thickBot="1" x14ac:dyDescent="0.5">
      <c r="A4" s="59"/>
      <c r="B4" s="326" t="s">
        <v>126</v>
      </c>
      <c r="C4" s="59"/>
      <c r="D4" s="59"/>
      <c r="E4" s="59"/>
      <c r="F4" s="59"/>
      <c r="G4" s="59"/>
      <c r="H4" s="59"/>
      <c r="I4" s="59"/>
      <c r="J4" s="59"/>
      <c r="K4" s="59"/>
      <c r="L4" s="59"/>
      <c r="M4" s="59"/>
      <c r="N4" s="59"/>
      <c r="O4" s="59"/>
      <c r="P4" s="59"/>
      <c r="Q4" s="59"/>
      <c r="R4" s="59"/>
      <c r="S4" s="59"/>
      <c r="T4" s="59"/>
      <c r="U4" s="59"/>
      <c r="V4" s="59"/>
      <c r="W4" s="59"/>
      <c r="X4" s="59"/>
      <c r="Y4" s="59"/>
      <c r="Z4" s="59"/>
      <c r="AA4" s="59"/>
      <c r="AB4" s="648" t="s">
        <v>204</v>
      </c>
      <c r="AC4" s="649"/>
      <c r="AD4" s="650"/>
    </row>
    <row r="5" spans="1:31" ht="45.95" customHeight="1" thickBot="1" x14ac:dyDescent="0.4">
      <c r="A5" s="59"/>
      <c r="B5" s="65" t="s">
        <v>119</v>
      </c>
      <c r="C5" s="66"/>
      <c r="D5" s="66"/>
      <c r="E5" s="67"/>
      <c r="F5" s="68" t="s">
        <v>116</v>
      </c>
      <c r="G5" s="779" t="s">
        <v>113</v>
      </c>
      <c r="H5" s="781"/>
      <c r="I5" s="68" t="s">
        <v>121</v>
      </c>
      <c r="J5" s="68" t="s">
        <v>213</v>
      </c>
      <c r="K5" s="68" t="s">
        <v>86</v>
      </c>
      <c r="L5" s="68" t="s">
        <v>87</v>
      </c>
      <c r="M5" s="68" t="s">
        <v>163</v>
      </c>
      <c r="N5" s="68" t="s">
        <v>122</v>
      </c>
      <c r="O5" s="70" t="s">
        <v>149</v>
      </c>
      <c r="P5" s="206" t="str">
        <f>IF(OR(J6='DROP DOWN'!D5,J6='DROP DOWN'!D6)=TRUE,"SWS pro Monat","Std. pro Monat")</f>
        <v>Std. pro Monat</v>
      </c>
      <c r="Q5" s="71" t="s">
        <v>164</v>
      </c>
      <c r="R5" s="59"/>
      <c r="S5" s="59"/>
      <c r="T5" s="59"/>
      <c r="U5" s="660" t="s">
        <v>125</v>
      </c>
      <c r="V5" s="661"/>
      <c r="W5" s="662"/>
      <c r="X5" s="59"/>
      <c r="Y5" s="59"/>
      <c r="Z5" s="59"/>
      <c r="AA5" s="59"/>
      <c r="AB5" s="65" t="s">
        <v>205</v>
      </c>
      <c r="AC5" s="68" t="s">
        <v>202</v>
      </c>
      <c r="AD5" s="71" t="s">
        <v>201</v>
      </c>
    </row>
    <row r="6" spans="1:31" ht="45.95" customHeight="1" thickBot="1" x14ac:dyDescent="0.4">
      <c r="A6" s="59"/>
      <c r="B6" s="208">
        <f>PKHR_für_SHK_WHK_TUT!C7</f>
        <v>0</v>
      </c>
      <c r="C6" s="75"/>
      <c r="D6" s="75"/>
      <c r="E6" s="76"/>
      <c r="F6" s="77"/>
      <c r="G6" s="812">
        <f>PKHR_für_SHK_WHK_TUT!C8</f>
        <v>0</v>
      </c>
      <c r="H6" s="813"/>
      <c r="I6" s="318"/>
      <c r="J6" s="80" t="str">
        <f>PKHR_für_SHK_WHK_TUT!C12</f>
        <v>Bitte auswählen</v>
      </c>
      <c r="K6" s="207">
        <f>PKHR_für_SHK_WHK_TUT!$C$11</f>
        <v>0</v>
      </c>
      <c r="L6" s="207">
        <f>PKHR_für_SHK_WHK_TUT!$D$11</f>
        <v>0</v>
      </c>
      <c r="M6" s="80" t="b">
        <v>0</v>
      </c>
      <c r="N6" s="80" t="b">
        <v>1</v>
      </c>
      <c r="O6" s="80" t="b">
        <v>0</v>
      </c>
      <c r="P6" s="469">
        <f>PKHR_für_SHK_WHK_TUT!C14</f>
        <v>0</v>
      </c>
      <c r="Q6" s="205">
        <f>IF(PKHR_für_SHK_WHK_TUT!C9="Landesmittel",0,1)</f>
        <v>1</v>
      </c>
      <c r="R6" s="59"/>
      <c r="S6" s="59"/>
      <c r="T6" s="59"/>
      <c r="U6" s="663"/>
      <c r="V6" s="664"/>
      <c r="W6" s="665"/>
      <c r="AB6" s="422"/>
      <c r="AC6" s="423">
        <v>4.3479999999999999</v>
      </c>
      <c r="AD6" s="424">
        <f>AB6*AC6</f>
        <v>0</v>
      </c>
    </row>
    <row r="7" spans="1:31" ht="37.5" customHeight="1" x14ac:dyDescent="0.35">
      <c r="A7" s="59"/>
      <c r="Q7" s="59"/>
      <c r="R7" s="59"/>
      <c r="S7" s="59"/>
      <c r="T7" s="59"/>
      <c r="U7" s="59"/>
      <c r="V7" s="59"/>
      <c r="AB7" s="425" t="s">
        <v>203</v>
      </c>
    </row>
    <row r="8" spans="1:31" x14ac:dyDescent="0.35">
      <c r="A8" s="59"/>
      <c r="B8" s="59"/>
      <c r="C8" s="59"/>
      <c r="D8" s="59"/>
      <c r="E8" s="59"/>
      <c r="F8" s="59"/>
      <c r="G8" s="324"/>
      <c r="H8" s="324"/>
      <c r="I8" s="60"/>
      <c r="J8" s="324"/>
      <c r="K8" s="59"/>
      <c r="L8" s="324"/>
      <c r="M8" s="59"/>
      <c r="N8" s="59"/>
      <c r="O8" s="59"/>
      <c r="P8" s="59"/>
      <c r="Q8" s="59"/>
      <c r="R8" s="59"/>
      <c r="S8" s="59"/>
      <c r="T8" s="59"/>
      <c r="U8" s="59"/>
      <c r="V8" s="59"/>
      <c r="W8" s="59"/>
      <c r="X8" s="59"/>
      <c r="Y8" s="59"/>
      <c r="Z8" s="59"/>
      <c r="AA8" s="59"/>
      <c r="AB8" s="59"/>
    </row>
    <row r="9" spans="1:31" x14ac:dyDescent="0.35">
      <c r="B9" s="64"/>
      <c r="G9" s="325"/>
      <c r="H9" s="435"/>
      <c r="I9" s="435"/>
      <c r="J9" s="435"/>
      <c r="K9" s="435"/>
      <c r="L9" s="435"/>
      <c r="M9" s="325"/>
      <c r="N9" s="325"/>
      <c r="O9" s="325"/>
      <c r="P9" s="435"/>
      <c r="Q9" s="435"/>
    </row>
    <row r="10" spans="1:31" ht="16.5" thickBot="1" x14ac:dyDescent="0.4">
      <c r="B10" s="64"/>
      <c r="G10" s="84"/>
      <c r="H10" s="62"/>
      <c r="I10" s="62"/>
      <c r="J10" s="62"/>
      <c r="K10" s="62"/>
      <c r="L10" s="62"/>
      <c r="M10" s="62"/>
      <c r="N10" s="62"/>
      <c r="O10" s="62"/>
      <c r="P10" s="62"/>
      <c r="Q10" s="62"/>
    </row>
    <row r="11" spans="1:31" ht="27" customHeight="1" thickBot="1" x14ac:dyDescent="0.4">
      <c r="G11" s="787">
        <f>YEAR(K6)</f>
        <v>1900</v>
      </c>
      <c r="H11" s="788"/>
      <c r="I11" s="788"/>
      <c r="J11" s="788"/>
      <c r="K11" s="790">
        <f>G11+1</f>
        <v>1901</v>
      </c>
      <c r="L11" s="791"/>
      <c r="M11" s="791"/>
      <c r="N11" s="791"/>
      <c r="O11" s="791"/>
      <c r="P11" s="791"/>
      <c r="Q11" s="791"/>
      <c r="R11" s="772">
        <f>K11+1</f>
        <v>1902</v>
      </c>
      <c r="S11" s="773"/>
      <c r="T11" s="773"/>
      <c r="U11" s="774"/>
      <c r="AB11" s="648" t="s">
        <v>78</v>
      </c>
      <c r="AC11" s="649"/>
      <c r="AD11" s="649"/>
      <c r="AE11" s="650"/>
    </row>
    <row r="12" spans="1:31" ht="27" customHeight="1" thickBot="1" x14ac:dyDescent="0.4">
      <c r="G12" s="836" t="s">
        <v>219</v>
      </c>
      <c r="H12" s="837"/>
      <c r="I12" s="836" t="s">
        <v>220</v>
      </c>
      <c r="J12" s="837"/>
      <c r="K12" s="838" t="s">
        <v>219</v>
      </c>
      <c r="L12" s="839"/>
      <c r="M12" s="388"/>
      <c r="N12" s="388"/>
      <c r="O12" s="388"/>
      <c r="P12" s="838" t="s">
        <v>220</v>
      </c>
      <c r="Q12" s="839"/>
      <c r="R12" s="840" t="s">
        <v>219</v>
      </c>
      <c r="S12" s="841"/>
      <c r="T12" s="840" t="s">
        <v>220</v>
      </c>
      <c r="U12" s="841"/>
      <c r="AB12" s="279" t="s">
        <v>79</v>
      </c>
      <c r="AC12" s="280" t="s">
        <v>51</v>
      </c>
      <c r="AD12" s="280" t="s">
        <v>11</v>
      </c>
      <c r="AE12" s="281" t="s">
        <v>80</v>
      </c>
    </row>
    <row r="13" spans="1:31" ht="16.5" thickBot="1" x14ac:dyDescent="0.4">
      <c r="B13" s="93"/>
      <c r="C13" s="94"/>
      <c r="D13" s="94"/>
      <c r="E13" s="94"/>
      <c r="F13" s="95"/>
      <c r="G13" s="97" t="s">
        <v>0</v>
      </c>
      <c r="H13" s="98" t="s">
        <v>1</v>
      </c>
      <c r="I13" s="97" t="s">
        <v>0</v>
      </c>
      <c r="J13" s="98" t="s">
        <v>1</v>
      </c>
      <c r="K13" s="99" t="s">
        <v>0</v>
      </c>
      <c r="L13" s="100" t="s">
        <v>1</v>
      </c>
      <c r="M13" s="101"/>
      <c r="N13" s="101"/>
      <c r="O13" s="101"/>
      <c r="P13" s="99" t="s">
        <v>0</v>
      </c>
      <c r="Q13" s="100" t="s">
        <v>1</v>
      </c>
      <c r="R13" s="102" t="s">
        <v>0</v>
      </c>
      <c r="S13" s="103" t="s">
        <v>1</v>
      </c>
      <c r="T13" s="102" t="s">
        <v>0</v>
      </c>
      <c r="U13" s="103" t="s">
        <v>1</v>
      </c>
      <c r="AB13" s="282">
        <f>SUM(AB14:AB21)</f>
        <v>0</v>
      </c>
      <c r="AC13" s="283"/>
      <c r="AD13" s="284">
        <f>SUM(AD14:AD21)</f>
        <v>0</v>
      </c>
      <c r="AE13" s="322">
        <f>IF(ISERROR(AD13/AB13),0,AD13/AB13)</f>
        <v>0</v>
      </c>
    </row>
    <row r="14" spans="1:31" ht="16.5" thickBot="1" x14ac:dyDescent="0.4">
      <c r="B14" s="104" t="s">
        <v>110</v>
      </c>
      <c r="C14" s="105"/>
      <c r="D14" s="105"/>
      <c r="E14" s="105"/>
      <c r="F14" s="106"/>
      <c r="G14" s="327">
        <f>IF(OR(ISBLANK($K$6),ISBLANK($L$6)),"",
IF(K6&gt;DATE(G11,3,31),"",
IF(G11=YEAR($K$6),$K$6,"")))</f>
        <v>0</v>
      </c>
      <c r="H14" s="329">
        <f>IF(G14="","",
IF(OR($L$6&gt;DATE($G$11,12,31),$L$6&gt;=DATE($G$11,4,1)),DATE($G$11,3,31),
IF($L$6&lt;DATE(G11,12,31),$L$6,DATE(G11,12,31))))</f>
        <v>0</v>
      </c>
      <c r="I14" s="327" t="str">
        <f>IF(IF(IF(AND(OR(H14&gt;=DATE(G11,3,31),$K$6&gt;=DATE(G11,4,1))),
IF($K$6&gt;=DATE(G11,4,1),$K$6,DATE(G11,4,1)))=FALSE,"",IF(AND(OR(H14&gt;=DATE(G11,3,31),$K$6&gt;=DATE(G11,4,1))),
IF($K$6&gt;=DATE(G11,4,1),$K$6,DATE(G11,4,1))))&gt;$L$6,"",IF(IF(AND(OR(H14&gt;=DATE(G11,3,31),$K$6&gt;=DATE(G11,4,1))),
IF($K$6&gt;=DATE(G11,4,1),$K$6,DATE(G11,4,1)))=FALSE,"",IF(AND(OR(H14&gt;=DATE(G11,3,31),$K$6&gt;=DATE(G11,4,1))),
IF($K$6&gt;=DATE(G11,4,1),$K$6,DATE(G11,4,1)))))</f>
        <v/>
      </c>
      <c r="J14" s="329" t="str">
        <f>IF(I14="","",IF(DATE(YEAR(G11),1,1)&lt;DATE(YEAR($L$6),12,31),
IF($L$6&lt;DATE(G11,12,31),$L$6,DATE(G11,12,31))))</f>
        <v/>
      </c>
      <c r="K14" s="327" t="str">
        <f>IF(OR(ISBLANK($K$6),ISBLANK($L$6)),"",
IF(AND(K11&gt;YEAR($K$6),K11&lt;=YEAR($L$6)),DATE(K11,1,1),""))</f>
        <v/>
      </c>
      <c r="L14" s="329" t="str">
        <f>IF(K14="","",
IF(OR($L$6&gt;DATE(K$11,12,31),$L$6&gt;=DATE(K11,4,1)),DATE(K11,3,31),
IF($L$6&lt;DATE(K11,12,31),$L$6,)))</f>
        <v/>
      </c>
      <c r="M14" s="332"/>
      <c r="N14" s="332"/>
      <c r="O14" s="332"/>
      <c r="P14" s="327" t="str">
        <f>IF(IF(AND(L14&gt;=DATE(K11,3,31),L14&lt;&gt;$L$6,YEAR($L$6)&gt;=K11),DATE(K11,4,1))=FALSE,"",
IF(AND(L14&gt;=DATE(K11,3,31),L14&lt;&gt;$L$6,YEAR($L$6)&gt;=K11),DATE(K11,4,1)))</f>
        <v/>
      </c>
      <c r="Q14" s="329" t="str">
        <f>IF(P14="","",
IF(DATE(YEAR(K11),1,1)&lt;DATE(YEAR($L$6),12,31),IF($L$6&lt;DATE(K11,12,31),$L$6,DATE(K11,12,31))))</f>
        <v/>
      </c>
      <c r="R14" s="327" t="str">
        <f>IF(OR(ISBLANK($K$6),ISBLANK($L$6)),"",
IF(AND(R11&gt;YEAR($K$6),R11&lt;=YEAR($L$6)),DATE(R11,1,1),""))</f>
        <v/>
      </c>
      <c r="S14" s="329" t="str">
        <f>IF(R14="","",
IF(OR($L$6&gt;DATE(R11,12,31),$L$6&gt;=DATE(R11,4,1)),DATE(R11,3,31),
IF($L$6&lt;DATE(R11,12,31),$L$6)))</f>
        <v/>
      </c>
      <c r="T14" s="327" t="str">
        <f>IF(IF(AND(S14&gt;=DATE(R11,3,31),S14&lt;&gt;$L$6,YEAR($L$6)&gt;=R11),DATE(R11,4,1))=FALSE,"",
IF(AND(S14&gt;=DATE(R11,3,31),S14&lt;&gt;$L$6,YEAR($L$6)&gt;=R11),DATE(R11,4,1)))</f>
        <v/>
      </c>
      <c r="U14" s="329" t="str">
        <f>IF(T14="","",
IF(DATE(YEAR(R11),1,1)&lt;DATE(YEAR($L$6),12,31),IF($L$6&lt;DATE(R11,12,31),$L$6,DATE(R11,12,31))))</f>
        <v/>
      </c>
      <c r="Z14" s="60"/>
      <c r="AA14" s="60"/>
      <c r="AB14" s="319"/>
      <c r="AC14" s="319"/>
      <c r="AD14" s="285">
        <f>AB14*AC14</f>
        <v>0</v>
      </c>
    </row>
    <row r="15" spans="1:31" ht="16.5" hidden="1" outlineLevel="1" thickBot="1" x14ac:dyDescent="0.4">
      <c r="B15" s="104"/>
      <c r="C15" s="105"/>
      <c r="D15" s="105"/>
      <c r="E15" s="105"/>
      <c r="F15" s="106"/>
      <c r="G15" s="111" t="e">
        <f>IF(G14="",0,(EOMONTH(G14,0)-G14+1)/(EOMONTH(G14,0)-EOMONTH(G14,-1))+(H14-EOMONTH(H14,-1))/(EOMONTH(H14,0)-EOMONTH(H14,-1))+MONTH(H14)-MONTH(G14)-1+(YEAR(H14)-YEAR(G14))*12)</f>
        <v>#NUM!</v>
      </c>
      <c r="H15" s="286">
        <f>IF(H14="",0,IF(AND(DAY(G14)&gt;1,MONTH(G14)&lt;&gt;MONTH(H14)),30-DAY(G14)+1,IF(G14="",0,(IF(MONTH(G14)=MONTH(H14),IF(OR(H14=C40,H14=C41,H14=C42,H14=C43,H14=C44,H14=C45,H14=C46,H14=C47,H14=C48,H14=C49,H14=C50,H14=C51),30-DAY(G14)+1,IF(MONTH(G14)=MONTH(H14),DAY(H14)-DAY(G14)+1,0)))))))</f>
        <v>1</v>
      </c>
      <c r="I15" s="111">
        <f>IF(I14="",0,(EOMONTH(I14,0)-I14+1)/(EOMONTH(I14,0)-EOMONTH(I14,-1))+(J14-EOMONTH(J14,-1))/(EOMONTH(J14,0)-EOMONTH(J14,-1))+MONTH(J14)-MONTH(I14)-1+(YEAR(J14)-YEAR(I14))*12)</f>
        <v>0</v>
      </c>
      <c r="J15" s="286">
        <f>IF(I14="",0,IF(AND(DAY(I14)=1,MONTH(I14)&lt;&gt;MONTH(J14)),30,IF(AND(DAY(I14)&gt;1,MONTH(I14)&lt;&gt;MONTH(J14)),30-DAY(I14)+1,IF(MONTH(I14)=MONTH(J14),IF(OR(J14=C40,J14=C41,J14=C42,J14=C43,J14=C44,J14=C45,J14=C46,J14=C47,J14=C48,J14=C49,J14=C50,J14=C51),30-DAY(I14)+1,IF(MONTH(I14)=MONTH(J14),DAY(J14)-DAY(I14)+1,0))))))</f>
        <v>0</v>
      </c>
      <c r="K15" s="111">
        <f>IF(K14="",0,(EOMONTH(K14,0)-K14+1)/(EOMONTH(K14,0)-EOMONTH(K14,-1))+(L14-EOMONTH(L14,-1))/(EOMONTH(L14,0)-EOMONTH(L14,-1))+MONTH(L14)-MONTH(K14)-1+(YEAR(L14)-YEAR(K14))*12)</f>
        <v>0</v>
      </c>
      <c r="L15" s="286" t="e">
        <f>IF(AND(DAY(K14)&gt;1,MONTH(K14)&lt;&gt;MONTH(L14)),30-DAY(K14)+1,IF(K14="",0,(IF(MONTH(K14)=MONTH(L14),IF(OR(L14=M40,L14=M41,L14=M42,L14=M43,L14=M44,L14=M45,L14=M46,L14=M47,L14=M48,L14=M49,L14=M50,L14=M51),30-DAY(K14)+1,IF(MONTH(K14)=MONTH(L14),DAY(L14)-DAY(K14)+1,0))))))</f>
        <v>#VALUE!</v>
      </c>
      <c r="M15" s="287"/>
      <c r="N15" s="287"/>
      <c r="O15" s="287"/>
      <c r="P15" s="111">
        <f>IF(P14="",0,(EOMONTH(P14,0)-P14+1)/(EOMONTH(P14,0)-EOMONTH(P14,-1))+(Q14-EOMONTH(Q14,-1))/(EOMONTH(Q14,0)-EOMONTH(Q14,-1))+MONTH(Q14)-MONTH(P14)-1+(YEAR(Q14)-YEAR(P14))*12)</f>
        <v>0</v>
      </c>
      <c r="Q15" s="286">
        <f>IF(P14="",0,IF(AND(DAY(P14)=1,MONTH(P14)&lt;&gt;MONTH(Q14)),30,IF(AND(DAY(P14)&gt;1,MONTH(P14)&lt;&gt;MONTH(Q14)),30-DAY(P14)+1,IF(MONTH(P14)=MONTH(Q14),IF(OR(Q14=M40,Q14=M41,Q14=M42,Q14=M43,Q14=M44,Q14=M45,Q14=M46,Q14=M47,Q14=M48,Q14=M49,Q14=M50,Q14=M51),30-DAY(P14)+1,IF(MONTH(P14)=MONTH(Q14),DAY(Q14)-DAY(P14)+1,0))))))</f>
        <v>0</v>
      </c>
      <c r="R15" s="111">
        <f>IF(R14="",0,(EOMONTH(R14,0)-R14+1)/(EOMONTH(R14,0)-EOMONTH(R14,-1))+(S14-EOMONTH(S14,-1))/(EOMONTH(S14,0)-EOMONTH(S14,-1))+MONTH(S14)-MONTH(R14)-1+(YEAR(S14)-YEAR(R14))*12)</f>
        <v>0</v>
      </c>
      <c r="S15" s="286" t="e">
        <f>IF(AND(DAY(R14)&gt;1,MONTH(R14)&lt;&gt;MONTH(S14)),30-DAY(R14)+1,IF(R14="",0,(IF(MONTH(R14)=MONTH(S14),IF(OR(S14=X40,S14=X41,S14=X42,S14=X43,S14=X44,S14=X45,S14=X46,S14=X47,S14=X48,S14=X49,S14=X50,S14=X51),30-DAY(R14)+1,IF(MONTH(R14)=MONTH(S14),DAY(S14)-DAY(R14)+1,0))))))</f>
        <v>#VALUE!</v>
      </c>
      <c r="T15" s="111">
        <f>IF(T14="",0,(EOMONTH(T14,0)-T14+1)/(EOMONTH(T14,0)-EOMONTH(T14,-1))+(U14-EOMONTH(U14,-1))/(EOMONTH(U14,0)-EOMONTH(U14,-1))+MONTH(U14)-MONTH(T14)-1+(YEAR(U14)-YEAR(T14))*12)</f>
        <v>0</v>
      </c>
      <c r="U15" s="286">
        <f>IF(T14="",0,IF(AND(DAY(T14)=1,MONTH(T14)&lt;&gt;MONTH(U14)),30,IF(AND(DAY(T14)&gt;1,MONTH(T14)&lt;&gt;MONTH(U14)),30-DAY(T14)+1,IF(MONTH(T14)=MONTH(U14),IF(OR(U14=X40,U14=X41,U14=X42,U14=X43,U14=X44,U14=X45,U14=X46,U14=X47,U14=X48,U14=X49,U14=X50,U14=X51),30-DAY(T14)+1,IF(MONTH(T14)=MONTH(U14),DAY(U14)-DAY(T14)+1,0))))))</f>
        <v>0</v>
      </c>
      <c r="AB15" s="320"/>
      <c r="AC15" s="320"/>
      <c r="AD15" s="212"/>
    </row>
    <row r="16" spans="1:31" ht="16.5" collapsed="1" thickBot="1" x14ac:dyDescent="0.4">
      <c r="B16" s="116" t="s">
        <v>69</v>
      </c>
      <c r="C16" s="117"/>
      <c r="D16" s="117"/>
      <c r="E16" s="117"/>
      <c r="F16" s="118"/>
      <c r="G16" s="671" t="e">
        <f>IF(G14="",0,((G18+(G18*G20))*(G19)))</f>
        <v>#N/A</v>
      </c>
      <c r="H16" s="670"/>
      <c r="I16" s="671">
        <f>IF(I14="",0,((I18+(I18*I20))*(I19)))</f>
        <v>0</v>
      </c>
      <c r="J16" s="670"/>
      <c r="K16" s="671">
        <f>IF(K14="",0,((K18+(K18*K20))*(K19)))</f>
        <v>0</v>
      </c>
      <c r="L16" s="670"/>
      <c r="M16" s="119"/>
      <c r="N16" s="119"/>
      <c r="O16" s="119"/>
      <c r="P16" s="671">
        <f>IF(P14="",0,((P18+(P18*P20))*(P19)))</f>
        <v>0</v>
      </c>
      <c r="Q16" s="670"/>
      <c r="R16" s="671">
        <f>IF(R14="",0,((R18+(R18*R20))*(R19)))</f>
        <v>0</v>
      </c>
      <c r="S16" s="670"/>
      <c r="T16" s="671">
        <f>IF(T14="",0,((T18+(T18*T20))*(T19)))</f>
        <v>0</v>
      </c>
      <c r="U16" s="670"/>
      <c r="AB16" s="321"/>
      <c r="AC16" s="321"/>
      <c r="AD16" s="285">
        <f t="shared" ref="AD16:AD21" si="0">AB16*AC16</f>
        <v>0</v>
      </c>
    </row>
    <row r="17" spans="2:30" ht="16.5" thickBot="1" x14ac:dyDescent="0.4">
      <c r="B17" s="120" t="s">
        <v>81</v>
      </c>
      <c r="C17" s="94"/>
      <c r="D17" s="94"/>
      <c r="E17" s="94"/>
      <c r="F17" s="95"/>
      <c r="G17" s="814" t="str">
        <f>J6</f>
        <v>Bitte auswählen</v>
      </c>
      <c r="H17" s="815"/>
      <c r="I17" s="815"/>
      <c r="J17" s="816"/>
      <c r="K17" s="817" t="str">
        <f>J6</f>
        <v>Bitte auswählen</v>
      </c>
      <c r="L17" s="818"/>
      <c r="M17" s="818"/>
      <c r="N17" s="818"/>
      <c r="O17" s="818"/>
      <c r="P17" s="818"/>
      <c r="Q17" s="819"/>
      <c r="R17" s="814" t="str">
        <f>J6</f>
        <v>Bitte auswählen</v>
      </c>
      <c r="S17" s="815"/>
      <c r="T17" s="815"/>
      <c r="U17" s="816"/>
      <c r="AB17" s="321"/>
      <c r="AC17" s="321"/>
      <c r="AD17" s="285">
        <f t="shared" si="0"/>
        <v>0</v>
      </c>
    </row>
    <row r="18" spans="2:30" x14ac:dyDescent="0.35">
      <c r="B18" s="120" t="s">
        <v>66</v>
      </c>
      <c r="C18" s="94"/>
      <c r="D18" s="94"/>
      <c r="E18" s="94"/>
      <c r="F18" s="95"/>
      <c r="G18" s="804">
        <f>IF(G17="Studentische Hilfskraft",VLOOKUP(G11,'Std. Satz_SHK, WHK u. TUT'!$A$4:$M$46,6,0),IF(G17="Wissenschaftliche Hilfskraft",VLOOKUP(G11,'Std. Satz_SHK, WHK u. TUT'!$A$4:$M$46,8,0),IF(G17="Akad. Tutor",VLOOKUP(G11,'Std. Satz_SHK, WHK u. TUT'!$A$4:$M$46,10,0),IF(G17="Stud. Tutor",VLOOKUP(G11,'Std. Satz_SHK, WHK u. TUT'!$A$4:$M$46,12,0),0))))</f>
        <v>0</v>
      </c>
      <c r="H18" s="805"/>
      <c r="I18" s="804">
        <f>IF(G17="Studentische Hilfskraft",VLOOKUP(G11,'Std. Satz_SHK, WHK u. TUT'!$A$4:$M$46,7,0),IF(G17="Wissenschaftliche Hilfskraft",VLOOKUP(G11,'Std. Satz_SHK, WHK u. TUT'!$A$4:$M$46,9,0),IF(G17="Akad. Tutor",VLOOKUP(G11,'Std. Satz_SHK, WHK u. TUT'!$A$4:$M$46,11,0),IF(G17="Stud. Tutor",VLOOKUP(G11,'Std. Satz_SHK, WHK u. TUT'!$A$4:$M$46,13,0),0))))</f>
        <v>0</v>
      </c>
      <c r="J18" s="805"/>
      <c r="K18" s="804">
        <f>IF(K17="Studentische Hilfskraft",VLOOKUP(K11,'Std. Satz_SHK, WHK u. TUT'!$A$4:$M$46,6,0),IF(K17="Wissenschaftliche Hilfskraft",VLOOKUP(K11,'Std. Satz_SHK, WHK u. TUT'!$A$4:$M$46,8,0),IF(K17="Akad. Tutor",VLOOKUP(K11,'Std. Satz_SHK, WHK u. TUT'!$A$4:$M$46,10,0),IF(K17="Stud. Tutor",VLOOKUP(K11,'Std. Satz_SHK, WHK u. TUT'!$A$4:$M$46,12,0),0))))</f>
        <v>0</v>
      </c>
      <c r="L18" s="805"/>
      <c r="M18" s="122"/>
      <c r="N18" s="122"/>
      <c r="O18" s="122"/>
      <c r="P18" s="804">
        <f>IF(K17="Studentische Hilfskraft",VLOOKUP(K11,'Std. Satz_SHK, WHK u. TUT'!$A$4:$M$46,7,0),IF(K17="Wissenschaftliche Hilfskraft",VLOOKUP(K11,'Std. Satz_SHK, WHK u. TUT'!$A$4:$M$46,9,0),IF(K17="Akad. Tutor",VLOOKUP(K11,'Std. Satz_SHK, WHK u. TUT'!$A$4:$M$46,11,0),IF(K17="Stud. Tutor",VLOOKUP(K11,'Std. Satz_SHK, WHK u. TUT'!$A$4:$M$46,13,0),0))))</f>
        <v>0</v>
      </c>
      <c r="Q18" s="805"/>
      <c r="R18" s="804">
        <f>IF(R17="Studentische Hilfskraft",VLOOKUP(R11,'Std. Satz_SHK, WHK u. TUT'!$A$4:$M$46,6,0),IF(R17="Wissenschaftliche Hilfskraft",VLOOKUP(R11,'Std. Satz_SHK, WHK u. TUT'!$A$4:$M$46,8,0),IF(R17="Akad. Tutor",VLOOKUP(R11,'Std. Satz_SHK, WHK u. TUT'!$A$4:$M$46,10,0),IF(R17="Stud. Tutor",VLOOKUP(R11,'Std. Satz_SHK, WHK u. TUT'!$A$4:$M$46,12,0),0))))</f>
        <v>0</v>
      </c>
      <c r="S18" s="805"/>
      <c r="T18" s="804">
        <f>IF(R17="Studentische Hilfskraft",VLOOKUP(R11,'Std. Satz_SHK, WHK u. TUT'!$A$4:$M$46,7,0),IF(R17="Wissenschaftliche Hilfskraft",VLOOKUP(R11,'Std. Satz_SHK, WHK u. TUT'!$A$4:$M$46,9,0),IF(R17="Akad. Tutor",VLOOKUP(R11,'Std. Satz_SHK, WHK u. TUT'!$A$4:$M$46,11,0),IF(R17="Stud. Tutor",VLOOKUP(R11,'Std. Satz_SHK, WHK u. TUT'!$A$4:$M$46,13,0),0))))</f>
        <v>0</v>
      </c>
      <c r="U18" s="805"/>
      <c r="AB18" s="321"/>
      <c r="AC18" s="321"/>
      <c r="AD18" s="285">
        <f t="shared" si="0"/>
        <v>0</v>
      </c>
    </row>
    <row r="19" spans="2:30" ht="16.5" thickBot="1" x14ac:dyDescent="0.4">
      <c r="B19" s="123" t="s">
        <v>72</v>
      </c>
      <c r="C19" s="124"/>
      <c r="D19" s="124"/>
      <c r="E19" s="124"/>
      <c r="F19" s="125"/>
      <c r="G19" s="716">
        <f>IF(G14="","",$P$6)</f>
        <v>0</v>
      </c>
      <c r="H19" s="717"/>
      <c r="I19" s="716" t="str">
        <f>IF(I14="","",$P$6)</f>
        <v/>
      </c>
      <c r="J19" s="717"/>
      <c r="K19" s="716" t="str">
        <f>IF(K14="","",$P$6)</f>
        <v/>
      </c>
      <c r="L19" s="717"/>
      <c r="M19" s="127"/>
      <c r="N19" s="127"/>
      <c r="O19" s="127"/>
      <c r="P19" s="716" t="str">
        <f>IF(P14="","",$P$6)</f>
        <v/>
      </c>
      <c r="Q19" s="717"/>
      <c r="R19" s="716" t="str">
        <f>IF(R14="","",$P$6)</f>
        <v/>
      </c>
      <c r="S19" s="717"/>
      <c r="T19" s="716" t="str">
        <f>IF(T14="","",$P$6)</f>
        <v/>
      </c>
      <c r="U19" s="717"/>
      <c r="AB19" s="321"/>
      <c r="AC19" s="321"/>
      <c r="AD19" s="285">
        <f t="shared" si="0"/>
        <v>0</v>
      </c>
    </row>
    <row r="20" spans="2:30" ht="18" thickBot="1" x14ac:dyDescent="0.4">
      <c r="B20" s="123" t="s">
        <v>184</v>
      </c>
      <c r="C20" s="124"/>
      <c r="D20" s="124"/>
      <c r="E20" s="124"/>
      <c r="F20" s="125"/>
      <c r="G20" s="702" t="e">
        <f>IF($N$6=TRUE,VLOOKUP(G11,'Std. Satz_SHK, WHK u. TUT'!$A$6:$E$53,4,0),0)</f>
        <v>#N/A</v>
      </c>
      <c r="H20" s="703"/>
      <c r="I20" s="702" t="e">
        <f>IF($N$6=TRUE,VLOOKUP(G11,'Std. Satz_SHK, WHK u. TUT'!$A$6:$E$53,5,0),0)</f>
        <v>#N/A</v>
      </c>
      <c r="J20" s="703"/>
      <c r="K20" s="702" t="e">
        <f>IF($N$6=TRUE,VLOOKUP(K11,'Std. Satz_SHK, WHK u. TUT'!$A$6:$E$53,4,0),0)</f>
        <v>#N/A</v>
      </c>
      <c r="L20" s="703"/>
      <c r="M20" s="129"/>
      <c r="N20" s="129"/>
      <c r="O20" s="129"/>
      <c r="P20" s="702" t="e">
        <f>IF($N$6=TRUE,VLOOKUP(K11,'Std. Satz_SHK, WHK u. TUT'!$A$6:$E$53,5,0),0)</f>
        <v>#N/A</v>
      </c>
      <c r="Q20" s="703"/>
      <c r="R20" s="702" t="e">
        <f>IF($N$6=TRUE,VLOOKUP(R11,'Std. Satz_SHK, WHK u. TUT'!$A$6:$E$53,4,0),0)</f>
        <v>#N/A</v>
      </c>
      <c r="S20" s="703"/>
      <c r="T20" s="702" t="e">
        <f>IF($N$6=TRUE,VLOOKUP(R11,'Std. Satz_SHK, WHK u. TUT'!$A$6:$E$53,5,0),0)</f>
        <v>#N/A</v>
      </c>
      <c r="U20" s="703"/>
      <c r="AB20" s="321"/>
      <c r="AC20" s="321"/>
      <c r="AD20" s="285">
        <f t="shared" si="0"/>
        <v>0</v>
      </c>
    </row>
    <row r="21" spans="2:30" ht="16.5" thickBot="1" x14ac:dyDescent="0.4">
      <c r="I21" s="115"/>
      <c r="J21" s="115"/>
      <c r="K21" s="115"/>
      <c r="L21" s="115"/>
      <c r="M21" s="115"/>
      <c r="N21" s="115"/>
      <c r="O21" s="115"/>
      <c r="P21" s="115"/>
      <c r="Q21" s="115"/>
      <c r="R21" s="115"/>
      <c r="S21" s="115"/>
      <c r="AB21" s="321"/>
      <c r="AC21" s="321"/>
      <c r="AD21" s="285">
        <f t="shared" si="0"/>
        <v>0</v>
      </c>
    </row>
    <row r="22" spans="2:30" ht="27" customHeight="1" thickBot="1" x14ac:dyDescent="0.4">
      <c r="G22" s="744">
        <f>R11+1</f>
        <v>1903</v>
      </c>
      <c r="H22" s="745"/>
      <c r="I22" s="745"/>
      <c r="J22" s="745"/>
      <c r="K22" s="747">
        <f>G22+1</f>
        <v>1904</v>
      </c>
      <c r="L22" s="748"/>
      <c r="M22" s="748"/>
      <c r="N22" s="748"/>
      <c r="O22" s="748"/>
      <c r="P22" s="748"/>
      <c r="Q22" s="748"/>
      <c r="R22" s="704">
        <f>K22+1</f>
        <v>1905</v>
      </c>
      <c r="S22" s="705"/>
      <c r="T22" s="705"/>
      <c r="U22" s="706"/>
      <c r="AB22"/>
      <c r="AC22"/>
      <c r="AD22"/>
    </row>
    <row r="23" spans="2:30" ht="27" customHeight="1" thickBot="1" x14ac:dyDescent="0.4">
      <c r="G23" s="842" t="s">
        <v>219</v>
      </c>
      <c r="H23" s="843"/>
      <c r="I23" s="842" t="s">
        <v>220</v>
      </c>
      <c r="J23" s="843"/>
      <c r="K23" s="844" t="s">
        <v>219</v>
      </c>
      <c r="L23" s="845"/>
      <c r="M23" s="389"/>
      <c r="N23" s="389"/>
      <c r="O23" s="389"/>
      <c r="P23" s="844" t="s">
        <v>220</v>
      </c>
      <c r="Q23" s="845"/>
      <c r="R23" s="846" t="s">
        <v>219</v>
      </c>
      <c r="S23" s="847"/>
      <c r="T23" s="846" t="s">
        <v>220</v>
      </c>
      <c r="U23" s="847"/>
      <c r="AB23"/>
      <c r="AC23"/>
      <c r="AD23"/>
    </row>
    <row r="24" spans="2:30" ht="17.25" thickBot="1" x14ac:dyDescent="0.4">
      <c r="B24" s="93"/>
      <c r="C24" s="94"/>
      <c r="D24" s="94"/>
      <c r="E24" s="94"/>
      <c r="F24" s="95"/>
      <c r="G24" s="130" t="s">
        <v>0</v>
      </c>
      <c r="H24" s="131" t="s">
        <v>1</v>
      </c>
      <c r="I24" s="130" t="s">
        <v>0</v>
      </c>
      <c r="J24" s="131" t="s">
        <v>1</v>
      </c>
      <c r="K24" s="132" t="s">
        <v>0</v>
      </c>
      <c r="L24" s="133" t="s">
        <v>1</v>
      </c>
      <c r="M24" s="134"/>
      <c r="N24" s="134"/>
      <c r="O24" s="134"/>
      <c r="P24" s="132" t="s">
        <v>0</v>
      </c>
      <c r="Q24" s="133" t="s">
        <v>1</v>
      </c>
      <c r="R24" s="135" t="s">
        <v>0</v>
      </c>
      <c r="S24" s="136" t="s">
        <v>1</v>
      </c>
      <c r="T24" s="135" t="s">
        <v>0</v>
      </c>
      <c r="U24" s="136" t="s">
        <v>1</v>
      </c>
      <c r="AB24"/>
      <c r="AC24"/>
      <c r="AD24"/>
    </row>
    <row r="25" spans="2:30" ht="17.25" thickBot="1" x14ac:dyDescent="0.4">
      <c r="B25" s="104" t="s">
        <v>110</v>
      </c>
      <c r="C25" s="105"/>
      <c r="D25" s="105"/>
      <c r="E25" s="105"/>
      <c r="F25" s="106"/>
      <c r="G25" s="327" t="str">
        <f>IF(OR(ISBLANK($K$6),ISBLANK($L$6)),"",
IF(AND(G22&gt;YEAR($K$6),G22&lt;=YEAR($L$6)),DATE(G22,1,1),""))</f>
        <v/>
      </c>
      <c r="H25" s="329" t="str">
        <f>IF(G25="","",
IF(OR($L$6&gt;DATE(G22,12,31),$L$6&gt;=DATE(G22,4,1)),DATE(G22,3,31),
IF($L$6&lt;DATE(G22,12,31),$L$6)))</f>
        <v/>
      </c>
      <c r="I25" s="327" t="str">
        <f>IF(IF(AND(H25&gt;=DATE(G22,3,31),H25&lt;&gt;$L$6,YEAR($L$6)&gt;=G22),DATE(G22,4,1))=FALSE,"",
IF(AND(H25&gt;=DATE(G22,3,31),H25&lt;&gt;$L$6,YEAR($L$6)&gt;=G22),DATE(G22,4,1)))</f>
        <v/>
      </c>
      <c r="J25" s="329" t="str">
        <f>IF(I25="","",IF(DATE(YEAR(G22),1,1)&lt;DATE(YEAR($L$6),12,31),IF($L$6&lt;DATE(G22,12,31),$L$6,DATE(G22,12,31))))</f>
        <v/>
      </c>
      <c r="K25" s="327" t="str">
        <f>IF(OR(ISBLANK($K$6),ISBLANK($L$6)),"",
IF(AND(K22&gt;YEAR($K$6),K22&lt;=YEAR($L$6)),DATE(K22,1,1),""))</f>
        <v/>
      </c>
      <c r="L25" s="329" t="str">
        <f>IF(K25="","",
IF(OR($L$6&gt;DATE(K$22,12,31),$L$6&gt;=DATE(K22,4,1)),DATE(K22,3,31),
IF($L$6&lt;DATE(K22,12,31),$L$6)))</f>
        <v/>
      </c>
      <c r="M25" s="332"/>
      <c r="N25" s="332"/>
      <c r="O25" s="332"/>
      <c r="P25" s="327" t="str">
        <f>IF(IF(AND(L25&gt;=DATE(K22,3,31),L25&lt;&gt;$L$6,YEAR($L$6)&gt;=K22),DATE(K22,4,1))=FALSE,"",
IF(AND(L25&gt;=DATE(K22,3,31),L25&lt;&gt;$L$6,YEAR($L$6)&gt;=K22),DATE(K22,4,1)))</f>
        <v/>
      </c>
      <c r="Q25" s="329" t="str">
        <f>IF(P25="","",
IF(DATE(YEAR(K22),1,1)&lt;DATE(YEAR($L$6),12,31),IF($L$6&lt;DATE(K22,12,31),$L$6,DATE(K22,12,31))))</f>
        <v/>
      </c>
      <c r="R25" s="327" t="str">
        <f>IF(OR(ISBLANK($K$6),ISBLANK($L$6)),"",
IF(AND(R22&gt;YEAR($K$6),R22&lt;=YEAR($L$6)),DATE(R22,1,1),""))</f>
        <v/>
      </c>
      <c r="S25" s="329" t="str">
        <f>IF(R25="","",
IF(OR($L$6&gt;DATE(R22,12,31),$L$6&gt;=DATE(R22,4,1)),DATE(R22,3,31),
IF($L$6&lt;DATE(R22,12,31),$L$6,DATE(R22,12,31))))</f>
        <v/>
      </c>
      <c r="T25" s="327" t="str">
        <f>IF(IF(AND(S25&gt;=DATE(R22,3,31),S25&lt;&gt;$L$6,YEAR($L$6)&gt;=R22),DATE(R22,4,1))=FALSE,"",
IF(AND(S25&gt;=DATE(R22,3,31),S25&lt;&gt;$L$6,YEAR($L$6)&gt;=R22),DATE(R22,4,1)))</f>
        <v/>
      </c>
      <c r="U25" s="329" t="str">
        <f>IF(T25="","",
IF(DATE(YEAR(R22),1,1)&lt;DATE(YEAR($L$6),12,31),IF($L$6&lt;DATE(R22,12,31),$L$6,DATE(R22,12,31))))</f>
        <v/>
      </c>
      <c r="AB25"/>
      <c r="AC25"/>
      <c r="AD25"/>
    </row>
    <row r="26" spans="2:30" ht="16.5" hidden="1" customHeight="1" outlineLevel="1" thickBot="1" x14ac:dyDescent="0.4">
      <c r="B26" s="104"/>
      <c r="C26" s="105"/>
      <c r="D26" s="105"/>
      <c r="E26" s="105"/>
      <c r="F26" s="106"/>
      <c r="G26" s="111">
        <f>IF(G25="",0,(EOMONTH(G25,0)-G25+1)/(EOMONTH(G25,0)-EOMONTH(G25,-1))+(H25-EOMONTH(H25,-1))/(EOMONTH(H25,0)-EOMONTH(H25,-1))+MONTH(H25)-MONTH(G25)-1+(YEAR(H25)-YEAR(G25))*12)</f>
        <v>0</v>
      </c>
      <c r="H26" s="286" t="e">
        <f>IF(AND(DAY(G25)&gt;1,MONTH(G25)&lt;&gt;MONTH(H25)),30-DAY(G25)+1,IF(G25="",0,(IF(MONTH(G25)=MONTH(H25),IF(OR(H25=C58,H25=C59,H25=C60,H25=C61,H25=C62,H25=C63,H25=C64,H25=C65,H25=C66,H25=C67,H25=C68,H25=C69),30-DAY(G25)+1,IF(MONTH(G25)=MONTH(H25),DAY(H25)-DAY(G25)+1,0))))))</f>
        <v>#VALUE!</v>
      </c>
      <c r="I26" s="111">
        <f>IF(I25="",0,(EOMONTH(I25,0)-I25+1)/(EOMONTH(I25,0)-EOMONTH(I25,-1))+(J25-EOMONTH(J25,-1))/(EOMONTH(J25,0)-EOMONTH(J25,-1))+MONTH(J25)-MONTH(I25)-1+(YEAR(J25)-YEAR(I25))*12)</f>
        <v>0</v>
      </c>
      <c r="J26" s="286">
        <f>IF(I25="",0,IF(AND(DAY(I25)=1,MONTH(I25)&lt;&gt;MONTH(J25)),30,IF(AND(DAY(I25)&gt;1,MONTH(I25)&lt;&gt;MONTH(J25)),30-DAY(I25)+1,IF(MONTH(I25)=MONTH(J25),IF(OR(J25=C58,J25=C59,J25=C60,J25=C61,J25=C62,J25=C63,J25=C64,J25=C65,J25=C66,J25=C67,J25=C68,J25=C69),30-DAY(I25)+1,IF(MONTH(I25)=MONTH(J25),DAY(J25)-DAY(I25)+1,0))))))</f>
        <v>0</v>
      </c>
      <c r="K26" s="111">
        <f>IF(K25="",0,(EOMONTH(K25,0)-K25+1)/(EOMONTH(K25,0)-EOMONTH(K25,-1))+(L25-EOMONTH(L25,-1))/(EOMONTH(L25,0)-EOMONTH(L25,-1))+MONTH(L25)-MONTH(K25)-1+(YEAR(L25)-YEAR(K25))*12)</f>
        <v>0</v>
      </c>
      <c r="L26" s="286" t="e">
        <f>IF(AND(DAY(K25)&gt;1,MONTH(K25)&lt;&gt;MONTH(L25)),30-DAY(K25)+1,IF(K25="",0,(IF(MONTH(K25)=MONTH(L25),IF(OR(L25=M58,L25=M59,L25=M60,L25=M61,L25=M62,L25=M63,L25=M64,L25=M65,L25=M66,L25=M67,L25=M68,L25=M69),30-DAY(K25)+1,IF(MONTH(K25)=MONTH(L25),DAY(L25)-DAY(K25)+1,0))))))</f>
        <v>#VALUE!</v>
      </c>
      <c r="M26" s="287"/>
      <c r="N26" s="287"/>
      <c r="O26" s="287"/>
      <c r="P26" s="111">
        <f>IF(P25="",0,(EOMONTH(P25,0)-P25+1)/(EOMONTH(P25,0)-EOMONTH(P25,-1))+(Q25-EOMONTH(Q25,-1))/(EOMONTH(Q25,0)-EOMONTH(Q25,-1))+MONTH(Q25)-MONTH(P25)-1+(YEAR(Q25)-YEAR(P25))*12)</f>
        <v>0</v>
      </c>
      <c r="Q26" s="286">
        <f>IF(P25="",0,IF(AND(DAY(P25)=1,MONTH(P25)&lt;&gt;MONTH(Q25)),30,IF(AND(DAY(P25)&gt;1,MONTH(P25)&lt;&gt;MONTH(Q25)),30-DAY(P25)+1,IF(MONTH(P25)=MONTH(Q25),IF(OR(Q25=M58,Q25=M59,Q25=M60,Q25=M61,Q25=M62,Q25=M63,Q25=M64,Q25=M65,Q25=M66,Q25=M67,Q25=M68,Q25=M69),30-DAY(P25)+1,IF(MONTH(P25)=MONTH(Q25),DAY(Q25)-DAY(P25)+1,0))))))</f>
        <v>0</v>
      </c>
      <c r="R26" s="111">
        <f>IF(R25="",0,(EOMONTH(R25,0)-R25+1)/(EOMONTH(R25,0)-EOMONTH(R25,-1))+(S25-EOMONTH(S25,-1))/(EOMONTH(S25,0)-EOMONTH(S25,-1))+MONTH(S25)-MONTH(R25)-1+(YEAR(S25)-YEAR(R25))*12)</f>
        <v>0</v>
      </c>
      <c r="S26" s="286" t="e">
        <f>IF(AND(DAY(R25)&gt;1,MONTH(R25)&lt;&gt;MONTH(S25)),30-DAY(R25)+1,IF(R25="",0,(IF(MONTH(R25)=MONTH(S25),IF(OR(S25=X58,S25=X59,S25=X60,S25=X61,S25=X62,S25=X63,S25=X64,S25=X65,S25=X66,S25=X67,S25=X68,S25=X69),30-DAY(R25)+1,IF(MONTH(R25)=MONTH(S25),DAY(S25)-DAY(R25)+1,0))))))</f>
        <v>#VALUE!</v>
      </c>
      <c r="T26" s="111">
        <f>IF(T25="",0,(EOMONTH(T25,0)-T25+1)/(EOMONTH(T25,0)-EOMONTH(T25,-1))+(U25-EOMONTH(U25,-1))/(EOMONTH(U25,0)-EOMONTH(U25,-1))+MONTH(U25)-MONTH(T25)-1+(YEAR(U25)-YEAR(T25))*12)</f>
        <v>0</v>
      </c>
      <c r="U26" s="286">
        <f>IF(T25="",0,IF(AND(DAY(T25)=1,MONTH(T25)&lt;&gt;MONTH(U25)),30,IF(AND(DAY(T25)&gt;1,MONTH(T25)&lt;&gt;MONTH(U25)),30-DAY(T25)+1,IF(MONTH(T25)=MONTH(U25),IF(OR(U25=X58,U25=X59,U25=X60,U25=X61,U25=X62,U25=X63,U25=X64,U25=X65,U25=X66,U25=X67,U25=X68,U25=X69),30-DAY(T25)+1,IF(MONTH(T25)=MONTH(U25),DAY(U25)-DAY(T25)+1,0))))))</f>
        <v>0</v>
      </c>
    </row>
    <row r="27" spans="2:30" ht="16.5" collapsed="1" thickBot="1" x14ac:dyDescent="0.4">
      <c r="B27" s="116" t="s">
        <v>69</v>
      </c>
      <c r="C27" s="117"/>
      <c r="D27" s="117"/>
      <c r="E27" s="117"/>
      <c r="F27" s="118"/>
      <c r="G27" s="806">
        <f>IF(G25="",0,((G29+(G29*G31))*(G30)))</f>
        <v>0</v>
      </c>
      <c r="H27" s="807"/>
      <c r="I27" s="806">
        <f>IF(I25="",0,((I29+(I29*I31))*(I30)))</f>
        <v>0</v>
      </c>
      <c r="J27" s="807"/>
      <c r="K27" s="806">
        <f>IF(K25="",0,((K29+(K29*K31))*(K30)))</f>
        <v>0</v>
      </c>
      <c r="L27" s="807"/>
      <c r="M27" s="288"/>
      <c r="N27" s="288"/>
      <c r="O27" s="288"/>
      <c r="P27" s="806">
        <f>IF(P25="",0,((P29+(P29*P31))*(P30)))</f>
        <v>0</v>
      </c>
      <c r="Q27" s="807"/>
      <c r="R27" s="806">
        <f>IF(R25="",0,((R29+(R29*R31))*(R30)))</f>
        <v>0</v>
      </c>
      <c r="S27" s="807"/>
      <c r="T27" s="806">
        <f>IF(T25="",0,((T29+(T29*T31))*(T30)))</f>
        <v>0</v>
      </c>
      <c r="U27" s="807"/>
    </row>
    <row r="28" spans="2:30" ht="16.5" thickBot="1" x14ac:dyDescent="0.4">
      <c r="B28" s="120" t="s">
        <v>81</v>
      </c>
      <c r="C28" s="94"/>
      <c r="D28" s="94"/>
      <c r="E28" s="94"/>
      <c r="F28" s="95"/>
      <c r="G28" s="814" t="str">
        <f>J6</f>
        <v>Bitte auswählen</v>
      </c>
      <c r="H28" s="815"/>
      <c r="I28" s="815"/>
      <c r="J28" s="816"/>
      <c r="K28" s="817" t="str">
        <f>J6</f>
        <v>Bitte auswählen</v>
      </c>
      <c r="L28" s="818"/>
      <c r="M28" s="818"/>
      <c r="N28" s="818"/>
      <c r="O28" s="818"/>
      <c r="P28" s="818"/>
      <c r="Q28" s="819"/>
      <c r="R28" s="814" t="str">
        <f>J6</f>
        <v>Bitte auswählen</v>
      </c>
      <c r="S28" s="815"/>
      <c r="T28" s="815"/>
      <c r="U28" s="816"/>
    </row>
    <row r="29" spans="2:30" x14ac:dyDescent="0.35">
      <c r="B29" s="120" t="s">
        <v>66</v>
      </c>
      <c r="C29" s="94"/>
      <c r="D29" s="94"/>
      <c r="E29" s="94"/>
      <c r="F29" s="95"/>
      <c r="G29" s="804">
        <f>IF(G28="Studentische Hilfskraft",VLOOKUP(G22,'Std. Satz_SHK, WHK u. TUT'!$A$4:$M$46,6,0),IF(G28="Wissenschaftliche Hilfskraft",VLOOKUP(G22,'Std. Satz_SHK, WHK u. TUT'!$A$4:$M$46,8,0),IF(G28="Akad. Tutor",VLOOKUP(G22,'Std. Satz_SHK, WHK u. TUT'!$A$4:$M$46,10,0),IF(G28="Stud. Tutor",VLOOKUP(G22,'Std. Satz_SHK, WHK u. TUT'!$A$4:$M$46,12,0),0))))</f>
        <v>0</v>
      </c>
      <c r="H29" s="805"/>
      <c r="I29" s="804">
        <f>IF(G28="Studentische Hilfskraft",VLOOKUP(G22,'Std. Satz_SHK, WHK u. TUT'!$A$4:$M$46,7,0),IF(G28="Wissenschaftliche Hilfskraft",VLOOKUP(G22,'Std. Satz_SHK, WHK u. TUT'!$A$4:$M$46,9,0),IF(G28="Akad. Tutor",VLOOKUP(G22,'Std. Satz_SHK, WHK u. TUT'!$A$4:$M$46,11,0),IF(G28="Stud. Tutor",VLOOKUP(G22,'Std. Satz_SHK, WHK u. TUT'!$A$4:$M$46,13,0),0))))</f>
        <v>0</v>
      </c>
      <c r="J29" s="805"/>
      <c r="K29" s="804">
        <f>IF(K28="Studentische Hilfskraft",VLOOKUP(K22,'Std. Satz_SHK, WHK u. TUT'!$A$4:$M$46,6,0),IF(K28="Wissenschaftliche Hilfskraft",VLOOKUP(K22,'Std. Satz_SHK, WHK u. TUT'!$A$4:$M$46,8,0),IF(K28="Akad. Tutor",VLOOKUP(K22,'Std. Satz_SHK, WHK u. TUT'!$A$4:$M$46,10,0),IF(K28="Stud. Tutor",VLOOKUP(K22,'Std. Satz_SHK, WHK u. TUT'!$A$4:$M$46,12,0),0))))</f>
        <v>0</v>
      </c>
      <c r="L29" s="805"/>
      <c r="M29" s="122"/>
      <c r="N29" s="122"/>
      <c r="O29" s="122"/>
      <c r="P29" s="804">
        <f>IF(K28="Studentische Hilfskraft",VLOOKUP(K22,'Std. Satz_SHK, WHK u. TUT'!$A$4:$M$46,7,0),IF(K28="Wissenschaftliche Hilfskraft",VLOOKUP(K22,'Std. Satz_SHK, WHK u. TUT'!$A$4:$M$46,9,0),IF(K28="Akad. Tutor",VLOOKUP(K22,'Std. Satz_SHK, WHK u. TUT'!$A$4:$M$46,11,0),IF(K28="Stud. Tutor",VLOOKUP(K22,'Std. Satz_SHK, WHK u. TUT'!$A$4:$M$46,13,0),0))))</f>
        <v>0</v>
      </c>
      <c r="Q29" s="805"/>
      <c r="R29" s="804">
        <f>IF(R28="Studentische Hilfskraft",VLOOKUP(R22,'Std. Satz_SHK, WHK u. TUT'!$A$4:$M$46,6,0),IF(R28="Wissenschaftliche Hilfskraft",VLOOKUP(R22,'Std. Satz_SHK, WHK u. TUT'!$A$4:$M$46,8,0),IF(R28="Akad. Tutor",VLOOKUP(R22,'Std. Satz_SHK, WHK u. TUT'!$A$4:$M$46,10,0),IF(R28="Stud. Tutor",VLOOKUP(R22,'Std. Satz_SHK, WHK u. TUT'!$A$4:$M$46,12,0),0))))</f>
        <v>0</v>
      </c>
      <c r="S29" s="805"/>
      <c r="T29" s="804">
        <f>IF(R28="Studentische Hilfskraft",VLOOKUP(R22,'Std. Satz_SHK, WHK u. TUT'!$A$4:$M$46,7,0),IF(R28="Wissenschaftliche Hilfskraft",VLOOKUP(R22,'Std. Satz_SHK, WHK u. TUT'!$A$4:$M$46,9,0),IF(R28="Akad. Tutor",VLOOKUP(R22,'Std. Satz_SHK, WHK u. TUT'!$A$4:$M$46,11,0),IF(R28="Stud. Tutor",VLOOKUP(R22,'Std. Satz_SHK, WHK u. TUT'!$A$4:$M$46,13,0),0))))</f>
        <v>0</v>
      </c>
      <c r="U29" s="805"/>
    </row>
    <row r="30" spans="2:30" ht="16.5" thickBot="1" x14ac:dyDescent="0.4">
      <c r="B30" s="123" t="s">
        <v>72</v>
      </c>
      <c r="C30" s="124"/>
      <c r="D30" s="124"/>
      <c r="E30" s="124"/>
      <c r="F30" s="125"/>
      <c r="G30" s="716" t="str">
        <f>IF(G25="","",$P$6)</f>
        <v/>
      </c>
      <c r="H30" s="717"/>
      <c r="I30" s="716" t="str">
        <f>IF(I25="","",$P$6)</f>
        <v/>
      </c>
      <c r="J30" s="717"/>
      <c r="K30" s="716" t="str">
        <f>IF(K25="","",$P$6)</f>
        <v/>
      </c>
      <c r="L30" s="717"/>
      <c r="M30" s="127"/>
      <c r="N30" s="127"/>
      <c r="O30" s="127"/>
      <c r="P30" s="716" t="str">
        <f>IF(P25="","",$P$6)</f>
        <v/>
      </c>
      <c r="Q30" s="717"/>
      <c r="R30" s="716" t="str">
        <f>IF(R25="","",$P$6)</f>
        <v/>
      </c>
      <c r="S30" s="717"/>
      <c r="T30" s="716" t="str">
        <f>IF(T25="","",$P$6)</f>
        <v/>
      </c>
      <c r="U30" s="717"/>
    </row>
    <row r="31" spans="2:30" ht="18" thickBot="1" x14ac:dyDescent="0.4">
      <c r="B31" s="123" t="s">
        <v>218</v>
      </c>
      <c r="C31" s="124"/>
      <c r="D31" s="124"/>
      <c r="E31" s="124"/>
      <c r="F31" s="125"/>
      <c r="G31" s="702" t="e">
        <f>IF($N$6=TRUE,VLOOKUP(G22,'Std. Satz_SHK, WHK u. TUT'!$A$6:$E$53,4,0),0)</f>
        <v>#N/A</v>
      </c>
      <c r="H31" s="703"/>
      <c r="I31" s="702" t="e">
        <f>IF($N$6=TRUE,VLOOKUP(G22,'Std. Satz_SHK, WHK u. TUT'!$A$6:$E$53,5,0),0)</f>
        <v>#N/A</v>
      </c>
      <c r="J31" s="703"/>
      <c r="K31" s="702" t="e">
        <f>IF($N$6=TRUE,VLOOKUP(K22,'Std. Satz_SHK, WHK u. TUT'!$A$6:$E$53,4,0),0)</f>
        <v>#N/A</v>
      </c>
      <c r="L31" s="703"/>
      <c r="M31" s="129"/>
      <c r="N31" s="129"/>
      <c r="O31" s="129"/>
      <c r="P31" s="702" t="e">
        <f>IF($N$6=TRUE,VLOOKUP(K22,'Std. Satz_SHK, WHK u. TUT'!$A$6:$E$53,5,0),0)</f>
        <v>#N/A</v>
      </c>
      <c r="Q31" s="703"/>
      <c r="R31" s="702" t="e">
        <f>IF($N$6=TRUE,VLOOKUP(R22,'Std. Satz_SHK, WHK u. TUT'!$A$6:$E$53,4,0),0)</f>
        <v>#N/A</v>
      </c>
      <c r="S31" s="703"/>
      <c r="T31" s="702" t="e">
        <f>IF($N$6=TRUE,VLOOKUP(R22,'Std. Satz_SHK, WHK u. TUT'!$A$6:$E$53,5,0),0)</f>
        <v>#N/A</v>
      </c>
      <c r="U31" s="703"/>
    </row>
    <row r="32" spans="2:30" ht="16.149999999999999" customHeight="1" x14ac:dyDescent="0.35">
      <c r="B32" s="600" t="s">
        <v>279</v>
      </c>
      <c r="C32" s="600"/>
      <c r="D32" s="600"/>
      <c r="E32" s="600"/>
      <c r="F32" s="600"/>
      <c r="I32" s="115"/>
      <c r="J32" s="115"/>
      <c r="K32" s="115"/>
      <c r="L32" s="115"/>
      <c r="M32" s="115"/>
      <c r="N32" s="115"/>
      <c r="O32" s="115"/>
      <c r="P32" s="115"/>
      <c r="Q32" s="115"/>
    </row>
    <row r="33" spans="2:31" ht="24" customHeight="1" thickBot="1" x14ac:dyDescent="0.4">
      <c r="B33" s="464"/>
      <c r="I33" s="137"/>
      <c r="J33" s="137"/>
      <c r="K33" s="137"/>
      <c r="L33" s="137"/>
      <c r="M33" s="137"/>
      <c r="N33" s="137"/>
      <c r="O33" s="137"/>
    </row>
    <row r="34" spans="2:31" ht="16.5" x14ac:dyDescent="0.35">
      <c r="B34" s="289" t="s">
        <v>77</v>
      </c>
      <c r="C34" s="96"/>
      <c r="D34" s="96"/>
      <c r="E34" s="96"/>
      <c r="F34" s="290" t="e">
        <f>(F38+P38+AA38+F56+P56+AA56)</f>
        <v>#NUM!</v>
      </c>
      <c r="G34" s="139"/>
      <c r="H34" s="140"/>
      <c r="I34" s="141"/>
      <c r="J34" s="609"/>
      <c r="K34" s="137"/>
      <c r="L34" s="137"/>
      <c r="M34" s="137"/>
      <c r="N34" s="137"/>
      <c r="O34" s="137"/>
    </row>
    <row r="35" spans="2:31" ht="16.5" thickBot="1" x14ac:dyDescent="0.4">
      <c r="B35" s="291" t="s">
        <v>68</v>
      </c>
      <c r="C35" s="128"/>
      <c r="D35" s="128"/>
      <c r="E35" s="128"/>
      <c r="F35" s="292">
        <f>IF(ISERROR(F34*AVERAGE(G19:U19,G30:U30)),0,(F34*AVERAGE(G19:U19,G30:U30)))</f>
        <v>0</v>
      </c>
      <c r="G35" s="138"/>
      <c r="H35" s="140"/>
      <c r="I35" s="140"/>
      <c r="J35" s="140"/>
      <c r="K35" s="137"/>
      <c r="L35" s="137"/>
      <c r="M35" s="137"/>
      <c r="N35" s="137"/>
      <c r="O35" s="137"/>
    </row>
    <row r="36" spans="2:31" x14ac:dyDescent="0.35">
      <c r="B36" s="293"/>
      <c r="C36" s="82"/>
      <c r="D36" s="82"/>
      <c r="E36" s="82"/>
      <c r="F36" s="293"/>
      <c r="G36" s="138"/>
      <c r="H36" s="140"/>
      <c r="I36" s="140"/>
      <c r="J36" s="140"/>
      <c r="K36" s="137"/>
      <c r="L36" s="137"/>
      <c r="M36" s="137"/>
      <c r="N36" s="137"/>
      <c r="O36" s="137"/>
    </row>
    <row r="37" spans="2:31" ht="16.5" thickBot="1" x14ac:dyDescent="0.4">
      <c r="H37" s="406"/>
      <c r="I37" s="137"/>
      <c r="J37" s="137"/>
      <c r="K37" s="137"/>
      <c r="L37" s="137"/>
      <c r="M37" s="137"/>
      <c r="N37" s="137"/>
      <c r="O37" s="137"/>
    </row>
    <row r="38" spans="2:31" ht="16.5" thickBot="1" x14ac:dyDescent="0.4">
      <c r="B38" s="144" t="s">
        <v>59</v>
      </c>
      <c r="F38" s="294" t="e">
        <f>G15+I15</f>
        <v>#NUM!</v>
      </c>
      <c r="I38" s="137"/>
      <c r="J38" s="137"/>
      <c r="K38" s="753" t="s">
        <v>59</v>
      </c>
      <c r="L38" s="835"/>
      <c r="M38" s="137"/>
      <c r="N38" s="137"/>
      <c r="O38" s="137"/>
      <c r="P38" s="824">
        <f>K15+P15</f>
        <v>0</v>
      </c>
      <c r="Q38" s="823"/>
      <c r="V38" s="720" t="s">
        <v>59</v>
      </c>
      <c r="W38" s="721"/>
      <c r="AA38" s="861">
        <f>R15+T15</f>
        <v>0</v>
      </c>
      <c r="AB38" s="862"/>
    </row>
    <row r="39" spans="2:31" x14ac:dyDescent="0.35">
      <c r="B39" s="295">
        <f>G11</f>
        <v>1900</v>
      </c>
      <c r="C39" s="296" t="s">
        <v>31</v>
      </c>
      <c r="D39" s="296" t="s">
        <v>32</v>
      </c>
      <c r="E39" s="296" t="s">
        <v>33</v>
      </c>
      <c r="F39" s="296" t="s">
        <v>5</v>
      </c>
      <c r="G39" s="296" t="s">
        <v>8</v>
      </c>
      <c r="H39" s="296" t="s">
        <v>10</v>
      </c>
      <c r="I39" s="296" t="s">
        <v>11</v>
      </c>
      <c r="K39" s="820">
        <f>B39+1</f>
        <v>1901</v>
      </c>
      <c r="L39" s="821"/>
      <c r="M39" s="297" t="s">
        <v>31</v>
      </c>
      <c r="N39" s="297" t="s">
        <v>32</v>
      </c>
      <c r="O39" s="297" t="s">
        <v>33</v>
      </c>
      <c r="P39" s="822" t="s">
        <v>5</v>
      </c>
      <c r="Q39" s="823"/>
      <c r="R39" s="297" t="s">
        <v>8</v>
      </c>
      <c r="S39" s="297" t="s">
        <v>10</v>
      </c>
      <c r="T39" s="297" t="s">
        <v>11</v>
      </c>
      <c r="V39" s="831">
        <f>K39+1</f>
        <v>1902</v>
      </c>
      <c r="W39" s="832"/>
      <c r="X39" s="298" t="s">
        <v>31</v>
      </c>
      <c r="Y39" s="298" t="s">
        <v>32</v>
      </c>
      <c r="Z39" s="298" t="s">
        <v>33</v>
      </c>
      <c r="AA39" s="866" t="s">
        <v>5</v>
      </c>
      <c r="AB39" s="867"/>
      <c r="AC39" s="299" t="s">
        <v>8</v>
      </c>
      <c r="AD39" s="299" t="s">
        <v>10</v>
      </c>
      <c r="AE39" s="299" t="s">
        <v>11</v>
      </c>
    </row>
    <row r="40" spans="2:31" x14ac:dyDescent="0.35">
      <c r="B40" s="151" t="s">
        <v>12</v>
      </c>
      <c r="C40" s="152">
        <f>EOMONTH(CONCATENATE("01.","01.",$B$39),0)</f>
        <v>31</v>
      </c>
      <c r="D40" s="153">
        <f t="shared" ref="D40:D51" si="1">IF($G$14="",0,IF(AND(DAY($G$14)&gt;1,MONTH(C40)=MONTH($G$14)),$H$15,IF(AND(C40&gt;=$G$14,C40&lt;=$H$14),30,IF((MONTH(C40)=MONTH($H$14)),DAY($H$14),0))))</f>
        <v>0</v>
      </c>
      <c r="E40" s="153">
        <f t="shared" ref="E40" si="2">IF($I$14="",0,IF(C40&lt;$I$14,0,IF(AND(MONTH($I$14)=MONTH($J$14),MONTH(C40)=MONTH($J$14)),$J$15,IF(AND(MONTH($I$14)&lt;&gt;MONTH($J$14),MONTH(C40)=MONTH($I$14)),$J$15,IF(AND(D40&gt;0,DAY($G$14)&gt;1,MONTH($G$14)=MONTH($H$14)),30-D40-DAY($G$14)+1,IF(AND(D40&gt;0,DAY($G$14)&gt;1),30-D40,(IF(D40&gt;0,30-D40,IF(AND(C40&gt;=$I$14,C40&lt;=$J$14),30,IF((MONTH(C40)=MONTH($J$14)),DAY($J$14),0))))))))))</f>
        <v>0</v>
      </c>
      <c r="F40" s="154" t="e">
        <f>(D40*$G$16/30)+(E40*$I$16/30)</f>
        <v>#N/A</v>
      </c>
      <c r="G40" s="156" t="e">
        <f>IF($M$6=TRUE,F40*'NK_SHK, WHK u. TUT'!$B$10,IF($O$6=TRUE,F40*'NK_SHK, WHK u. TUT'!$B$12,IF(F40&gt;'NK_SHK, WHK u. TUT'!$G$11,IF($G$17="Akad. Tutor",F40*'NK_SHK, WHK u. TUT'!$B$12,('NK_SHK, WHK u. TUT'!$B$25+'NK_SHK, WHK u. TUT'!$B$26*(F40-'NK_SHK, WHK u. TUT'!$G$11))*'NK_SHK, WHK u. TUT'!$B$20-('NK_SHK, WHK u. TUT'!$B$27*(F40-'NK_SHK, WHK u. TUT'!$G$11)*('NK_SHK, WHK u. TUT'!$B$20/2))),F40*'NK_SHK, WHK u. TUT'!$B$10)))</f>
        <v>#N/A</v>
      </c>
      <c r="H40" s="156" t="e">
        <f>IF(F40&gt;0,'NK_SHK, WHK u. TUT'!$B$4*$Q$6,0)</f>
        <v>#N/A</v>
      </c>
      <c r="I40" s="156" t="e">
        <f>SUM(F40:H40)</f>
        <v>#N/A</v>
      </c>
      <c r="K40" s="667" t="s">
        <v>12</v>
      </c>
      <c r="L40" s="668"/>
      <c r="M40" s="152">
        <f>EOMONTH(CONCATENATE("01.","01.",$K$39),0)</f>
        <v>397</v>
      </c>
      <c r="N40" s="153">
        <f t="shared" ref="N40:N51" si="3">IF($K$14="",0,IF(AND(DAY($K$14)&gt;1,MONTH(M40)=MONTH($K$14)),$L$15,IF(AND(M40&gt;=$K$14,M40&lt;=$L$14),30,IF((MONTH(M40)=MONTH($L$14)),DAY($L$14),0))))</f>
        <v>0</v>
      </c>
      <c r="O40" s="153">
        <f t="shared" ref="O40:O50" si="4">IF($P$14="",0,IF(M40&lt;$P$14,0,IF(AND(MONTH($P$14)=MONTH($Q$14),MONTH(M40)=MONTH($Q$14)),$Q$15,(IF(N40&gt;0,30-N40,IF(AND(M40&gt;=$P$14,M40&lt;=$Q$14),30,IF((MONTH(M40)=MONTH($Q$14)),DAY($Q$14),IF(AND(MONTH($P$14)&lt;&gt;MONTH($Q$14),MONTH(M40)=MONTH($P$14)),$Q$15,IF(AND(N40&gt;0,DAY($K$14)&gt;1,MONTH($K$14)=MONTH($L$14)),30-N40-DAY($K$14)+1,IF(AND(N40&gt;0,DAY($K$14)&gt;1),30-N40,0))))))))))</f>
        <v>0</v>
      </c>
      <c r="P40" s="677">
        <f>(N40*$K$16/30)+(O40*$P$16/30)</f>
        <v>0</v>
      </c>
      <c r="Q40" s="678"/>
      <c r="R40" s="156">
        <f>IF($M$6=TRUE,P40*'NK_SHK, WHK u. TUT'!$B$10,IF($O$6=TRUE,P40*'NK_SHK, WHK u. TUT'!$B$12,IF(P40&gt;'NK_SHK, WHK u. TUT'!$G$11,IF($G$17="Akad. Tutor",P40*'NK_SHK, WHK u. TUT'!$B$12,('NK_SHK, WHK u. TUT'!$B$25+'NK_SHK, WHK u. TUT'!$B$26*(P40-'NK_SHK, WHK u. TUT'!$G$11))*'NK_SHK, WHK u. TUT'!$B$20-('NK_SHK, WHK u. TUT'!$B$27*(P40-'NK_SHK, WHK u. TUT'!$G$11)*('NK_SHK, WHK u. TUT'!$B$20/2))),P40*'NK_SHK, WHK u. TUT'!$B$10)))</f>
        <v>0</v>
      </c>
      <c r="S40" s="156">
        <f>IF(P40&gt;0,'NK_SHK, WHK u. TUT'!$B$4*$Q$6,0)</f>
        <v>0</v>
      </c>
      <c r="T40" s="156">
        <f>SUM(P40:S40)</f>
        <v>0</v>
      </c>
      <c r="V40" s="667" t="s">
        <v>12</v>
      </c>
      <c r="W40" s="668"/>
      <c r="X40" s="152">
        <f>EOMONTH(CONCATENATE("01.","01.",$V$39),0)</f>
        <v>762</v>
      </c>
      <c r="Y40" s="153">
        <f t="shared" ref="Y40:Y46" si="5">IF($R$14="",0,IF(AND(DAY($R$14)&gt;1,MONTH(X40)=MONTH($R$14)),$S$15,IF(AND(X40&gt;=$R$14,X40&lt;=$S$14),30,IF((MONTH(X40)=MONTH($S$14)),DAY($S$14),0))))</f>
        <v>0</v>
      </c>
      <c r="Z40" s="153">
        <f t="shared" ref="Z40:Z50" si="6">IF($T$14="",0,IF(X40&lt;$T$14,0,IF(AND(MONTH($T$14)=MONTH($U$14),MONTH(X40)=MONTH($U$14)),$U$15,(IF(Y40&gt;0,30-Y40,IF(AND(X40&gt;=$T$14,X40&lt;=$U$14),30,IF((MONTH(X40)=MONTH($U$14)),DAY($U$14),IF(AND(MONTH($T$14)&lt;&gt;MONTH($U$14),MONTH(X40)=MONTH($T$14)),$U$15,IF(AND(Y40&gt;0,DAY($R$14)&gt;1,MONTH($R$14)=MONTH($S$14)),30-Y40-DAY($R$14)+1,IF(AND(Y40&gt;0,DAY($R$14)&gt;1),30-Y40,0))))))))))</f>
        <v>0</v>
      </c>
      <c r="AA40" s="677">
        <f>(Y40*$R$16/30)+(Z40*$T$16/30)</f>
        <v>0</v>
      </c>
      <c r="AB40" s="678"/>
      <c r="AC40" s="156">
        <f>IF($M$6=TRUE,AA40*'NK_SHK, WHK u. TUT'!$B$10,IF($O$6=TRUE,AA40*'NK_SHK, WHK u. TUT'!$B$12,IF(AA40&gt;'NK_SHK, WHK u. TUT'!$G$11,IF($G$17="Akad. Tutor",AA40*'NK_SHK, WHK u. TUT'!$B$12,('NK_SHK, WHK u. TUT'!$B$25+'NK_SHK, WHK u. TUT'!$B$26*(AA40-'NK_SHK, WHK u. TUT'!$G$11))*'NK_SHK, WHK u. TUT'!$B$20-('NK_SHK, WHK u. TUT'!$B$27*(AA40-'NK_SHK, WHK u. TUT'!$G$11)*('NK_SHK, WHK u. TUT'!$B$20/2))),AA40*'NK_SHK, WHK u. TUT'!$B$10)))</f>
        <v>0</v>
      </c>
      <c r="AD40" s="156">
        <f>IF(AA40&gt;0,'NK_SHK, WHK u. TUT'!$B$4*$Q$6,0)</f>
        <v>0</v>
      </c>
      <c r="AE40" s="156">
        <f t="shared" ref="AE40:AE51" si="7">SUM(AA40:AD40)</f>
        <v>0</v>
      </c>
    </row>
    <row r="41" spans="2:31" x14ac:dyDescent="0.35">
      <c r="B41" s="151" t="s">
        <v>13</v>
      </c>
      <c r="C41" s="152">
        <f>EOMONTH(CONCATENATE("01.","01.",$B$39),1)</f>
        <v>59</v>
      </c>
      <c r="D41" s="153">
        <f t="shared" si="1"/>
        <v>0</v>
      </c>
      <c r="E41" s="153">
        <f t="shared" ref="E41:E49" si="8">IF($I$14="",0,IF(OR(MONTH(C41)&gt;MONTH($J$14),MONTH(C41)&lt;MONTH($I$14)),0,IF($I$14="",0,IF(AND(MONTH($I$14)=MONTH($J$14),MONTH(C41)=MONTH($J$14)),$J$15,IF(AND(MONTH($I$14)&lt;&gt;MONTH($J$14),MONTH(C41)=MONTH($I$14)),$J$15,IF(D41&gt;0,30-D41,IF(AND(C41&gt;=$I$14,C41&lt;=$J$14),30,IF((MONTH(C41)=MONTH($J$14)),DAY($J$14),IF(AND(D41&gt;0,DAY($G$14)&gt;1,MONTH($G$14)=MONTH($H$14)),30-D41-DAY($G$14)+1,IF(AND(D41&gt;0,DAY($G$14)&gt;1),30-D41,0))))))))))</f>
        <v>0</v>
      </c>
      <c r="F41" s="154" t="e">
        <f t="shared" ref="F41:F51" si="9">(D41*$G$16/30)+(E41*$I$16/30)</f>
        <v>#N/A</v>
      </c>
      <c r="G41" s="156" t="e">
        <f>IF($M$6=TRUE,F41*'NK_SHK, WHK u. TUT'!$B$10,IF($O$6=TRUE,F41*'NK_SHK, WHK u. TUT'!$B$12,IF(F41&gt;'NK_SHK, WHK u. TUT'!$G$11,IF($G$17="Akad. Tutor",F41*'NK_SHK, WHK u. TUT'!$B$12,('NK_SHK, WHK u. TUT'!$B$25+'NK_SHK, WHK u. TUT'!$B$26*(F41-'NK_SHK, WHK u. TUT'!$G$11))*'NK_SHK, WHK u. TUT'!$B$20-('NK_SHK, WHK u. TUT'!$B$27*(F41-'NK_SHK, WHK u. TUT'!$G$11)*('NK_SHK, WHK u. TUT'!$B$20/2))),F41*'NK_SHK, WHK u. TUT'!$B$10)))</f>
        <v>#N/A</v>
      </c>
      <c r="H41" s="156" t="e">
        <f>IF(F41&gt;0,'NK_SHK, WHK u. TUT'!$B$4*$Q$6,0)</f>
        <v>#N/A</v>
      </c>
      <c r="I41" s="156" t="e">
        <f t="shared" ref="I41:I51" si="10">SUM(F41:H41)</f>
        <v>#N/A</v>
      </c>
      <c r="K41" s="667" t="s">
        <v>13</v>
      </c>
      <c r="L41" s="668"/>
      <c r="M41" s="152">
        <f>EOMONTH(CONCATENATE("01.","01.",$K$39),1)</f>
        <v>425</v>
      </c>
      <c r="N41" s="153">
        <f t="shared" si="3"/>
        <v>0</v>
      </c>
      <c r="O41" s="153">
        <f t="shared" si="4"/>
        <v>0</v>
      </c>
      <c r="P41" s="677">
        <f t="shared" ref="P41:P51" si="11">(N41*$K$16/30)+(O41*$P$16/30)</f>
        <v>0</v>
      </c>
      <c r="Q41" s="678"/>
      <c r="R41" s="156">
        <f>IF($M$6=TRUE,P41*'NK_SHK, WHK u. TUT'!$B$10,IF($O$6=TRUE,P41*'NK_SHK, WHK u. TUT'!$B$12,IF(P41&gt;'NK_SHK, WHK u. TUT'!$G$11,IF($G$17="Akad. Tutor",P41*'NK_SHK, WHK u. TUT'!$B$12,('NK_SHK, WHK u. TUT'!$B$25+'NK_SHK, WHK u. TUT'!$B$26*(P41-'NK_SHK, WHK u. TUT'!$G$11))*'NK_SHK, WHK u. TUT'!$B$20-('NK_SHK, WHK u. TUT'!$B$27*(P41-'NK_SHK, WHK u. TUT'!$G$11)*('NK_SHK, WHK u. TUT'!$B$20/2))),P41*'NK_SHK, WHK u. TUT'!$B$10)))</f>
        <v>0</v>
      </c>
      <c r="S41" s="156">
        <f>IF(P41&gt;0,'NK_SHK, WHK u. TUT'!$B$4*$Q$6,0)</f>
        <v>0</v>
      </c>
      <c r="T41" s="156">
        <f t="shared" ref="T41:T51" si="12">SUM(P41:S41)</f>
        <v>0</v>
      </c>
      <c r="V41" s="667" t="s">
        <v>13</v>
      </c>
      <c r="W41" s="668"/>
      <c r="X41" s="152">
        <f>EOMONTH(CONCATENATE("01.","01.",$V$39),1)</f>
        <v>790</v>
      </c>
      <c r="Y41" s="153">
        <f t="shared" si="5"/>
        <v>0</v>
      </c>
      <c r="Z41" s="153">
        <f t="shared" si="6"/>
        <v>0</v>
      </c>
      <c r="AA41" s="677">
        <f t="shared" ref="AA41:AA48" si="13">(Y41*$R$16/30)+(Z41*$T$16/30)</f>
        <v>0</v>
      </c>
      <c r="AB41" s="678"/>
      <c r="AC41" s="156">
        <f>IF($M$6=TRUE,AA41*'NK_SHK, WHK u. TUT'!$B$10,IF($O$6=TRUE,AA41*'NK_SHK, WHK u. TUT'!$B$12,IF(AA41&gt;'NK_SHK, WHK u. TUT'!$G$11,IF($G$17="Akad. Tutor",AA41*'NK_SHK, WHK u. TUT'!$B$12,('NK_SHK, WHK u. TUT'!$B$25+'NK_SHK, WHK u. TUT'!$B$26*(AA41-'NK_SHK, WHK u. TUT'!$G$11))*'NK_SHK, WHK u. TUT'!$B$20-('NK_SHK, WHK u. TUT'!$B$27*(AA41-'NK_SHK, WHK u. TUT'!$G$11)*('NK_SHK, WHK u. TUT'!$B$20/2))),AA41*'NK_SHK, WHK u. TUT'!$B$10)))</f>
        <v>0</v>
      </c>
      <c r="AD41" s="156">
        <f>IF(AA41&gt;0,'NK_SHK, WHK u. TUT'!$B$4*$Q$6,0)</f>
        <v>0</v>
      </c>
      <c r="AE41" s="156">
        <f t="shared" si="7"/>
        <v>0</v>
      </c>
    </row>
    <row r="42" spans="2:31" x14ac:dyDescent="0.35">
      <c r="B42" s="151" t="s">
        <v>14</v>
      </c>
      <c r="C42" s="152">
        <f>EOMONTH(CONCATENATE("01.","01.",$B$39),2)</f>
        <v>91</v>
      </c>
      <c r="D42" s="153">
        <f t="shared" si="1"/>
        <v>0</v>
      </c>
      <c r="E42" s="153">
        <f t="shared" si="8"/>
        <v>0</v>
      </c>
      <c r="F42" s="154" t="e">
        <f>(D42*$G$16/30)+(E42*$I$16/30)</f>
        <v>#N/A</v>
      </c>
      <c r="G42" s="156" t="e">
        <f>IF($M$6=TRUE,F42*'NK_SHK, WHK u. TUT'!$B$10,IF($O$6=TRUE,F42*'NK_SHK, WHK u. TUT'!$B$12,IF(F42&gt;'NK_SHK, WHK u. TUT'!$G$11,IF($G$17="Akad. Tutor",F42*'NK_SHK, WHK u. TUT'!$B$12,('NK_SHK, WHK u. TUT'!$B$25+'NK_SHK, WHK u. TUT'!$B$26*(F42-'NK_SHK, WHK u. TUT'!$G$11))*'NK_SHK, WHK u. TUT'!$B$20-('NK_SHK, WHK u. TUT'!$B$27*(F42-'NK_SHK, WHK u. TUT'!$G$11)*('NK_SHK, WHK u. TUT'!$B$20/2))),F42*'NK_SHK, WHK u. TUT'!$B$10)))</f>
        <v>#N/A</v>
      </c>
      <c r="H42" s="156" t="e">
        <f>IF(F42&gt;0,'NK_SHK, WHK u. TUT'!$B$4*$Q$6,0)</f>
        <v>#N/A</v>
      </c>
      <c r="I42" s="156" t="e">
        <f t="shared" si="10"/>
        <v>#N/A</v>
      </c>
      <c r="K42" s="667" t="s">
        <v>14</v>
      </c>
      <c r="L42" s="668"/>
      <c r="M42" s="152">
        <f>EOMONTH(CONCATENATE("01.","01.",$K$39),2)</f>
        <v>456</v>
      </c>
      <c r="N42" s="153">
        <f t="shared" si="3"/>
        <v>0</v>
      </c>
      <c r="O42" s="153">
        <f t="shared" si="4"/>
        <v>0</v>
      </c>
      <c r="P42" s="677">
        <f t="shared" si="11"/>
        <v>0</v>
      </c>
      <c r="Q42" s="678"/>
      <c r="R42" s="156">
        <f>IF($M$6=TRUE,P42*'NK_SHK, WHK u. TUT'!$B$10,IF($O$6=TRUE,P42*'NK_SHK, WHK u. TUT'!$B$12,IF(P42&gt;'NK_SHK, WHK u. TUT'!$G$11,IF($G$17="Akad. Tutor",P42*'NK_SHK, WHK u. TUT'!$B$12,('NK_SHK, WHK u. TUT'!$B$25+'NK_SHK, WHK u. TUT'!$B$26*(P42-'NK_SHK, WHK u. TUT'!$G$11))*'NK_SHK, WHK u. TUT'!$B$20-('NK_SHK, WHK u. TUT'!$B$27*(P42-'NK_SHK, WHK u. TUT'!$G$11)*('NK_SHK, WHK u. TUT'!$B$20/2))),P42*'NK_SHK, WHK u. TUT'!$B$10)))</f>
        <v>0</v>
      </c>
      <c r="S42" s="156">
        <f>IF(P42&gt;0,'NK_SHK, WHK u. TUT'!$B$4*$Q$6,0)</f>
        <v>0</v>
      </c>
      <c r="T42" s="156">
        <f t="shared" si="12"/>
        <v>0</v>
      </c>
      <c r="V42" s="667" t="s">
        <v>14</v>
      </c>
      <c r="W42" s="668"/>
      <c r="X42" s="152">
        <f>EOMONTH(CONCATENATE("01.","01.",$V$39),2)</f>
        <v>821</v>
      </c>
      <c r="Y42" s="153">
        <f t="shared" si="5"/>
        <v>0</v>
      </c>
      <c r="Z42" s="153">
        <f t="shared" si="6"/>
        <v>0</v>
      </c>
      <c r="AA42" s="677">
        <f t="shared" si="13"/>
        <v>0</v>
      </c>
      <c r="AB42" s="678"/>
      <c r="AC42" s="156">
        <f>IF($M$6=TRUE,AA42*'NK_SHK, WHK u. TUT'!$B$10,IF($O$6=TRUE,AA42*'NK_SHK, WHK u. TUT'!$B$12,IF(AA42&gt;'NK_SHK, WHK u. TUT'!$G$11,IF($G$17="Akad. Tutor",AA42*'NK_SHK, WHK u. TUT'!$B$12,('NK_SHK, WHK u. TUT'!$B$25+'NK_SHK, WHK u. TUT'!$B$26*(AA42-'NK_SHK, WHK u. TUT'!$G$11))*'NK_SHK, WHK u. TUT'!$B$20-('NK_SHK, WHK u. TUT'!$B$27*(AA42-'NK_SHK, WHK u. TUT'!$G$11)*('NK_SHK, WHK u. TUT'!$B$20/2))),AA42*'NK_SHK, WHK u. TUT'!$B$10)))</f>
        <v>0</v>
      </c>
      <c r="AD42" s="156">
        <f>IF(AA42&gt;0,'NK_SHK, WHK u. TUT'!$B$4*$Q$6,0)</f>
        <v>0</v>
      </c>
      <c r="AE42" s="156">
        <f t="shared" si="7"/>
        <v>0</v>
      </c>
    </row>
    <row r="43" spans="2:31" x14ac:dyDescent="0.35">
      <c r="B43" s="151" t="s">
        <v>15</v>
      </c>
      <c r="C43" s="152">
        <f>EOMONTH(CONCATENATE("01.","01.",$B$39),3)</f>
        <v>121</v>
      </c>
      <c r="D43" s="153">
        <f t="shared" si="1"/>
        <v>0</v>
      </c>
      <c r="E43" s="153">
        <f t="shared" si="8"/>
        <v>0</v>
      </c>
      <c r="F43" s="154" t="e">
        <f t="shared" si="9"/>
        <v>#N/A</v>
      </c>
      <c r="G43" s="156" t="e">
        <f>IF($M$6=TRUE,F43*'NK_SHK, WHK u. TUT'!$B$10,IF($O$6=TRUE,F43*'NK_SHK, WHK u. TUT'!$B$12,IF(F43&gt;'NK_SHK, WHK u. TUT'!$G$11,IF($G$17="Akad. Tutor",F43*'NK_SHK, WHK u. TUT'!$B$12,('NK_SHK, WHK u. TUT'!$B$25+'NK_SHK, WHK u. TUT'!$B$26*(F43-'NK_SHK, WHK u. TUT'!$G$11))*'NK_SHK, WHK u. TUT'!$B$20-('NK_SHK, WHK u. TUT'!$B$27*(F43-'NK_SHK, WHK u. TUT'!$G$11)*('NK_SHK, WHK u. TUT'!$B$20/2))),F43*'NK_SHK, WHK u. TUT'!$B$10)))</f>
        <v>#N/A</v>
      </c>
      <c r="H43" s="156" t="e">
        <f>IF(F43&gt;0,'NK_SHK, WHK u. TUT'!$B$4*$Q$6,0)</f>
        <v>#N/A</v>
      </c>
      <c r="I43" s="156" t="e">
        <f t="shared" si="10"/>
        <v>#N/A</v>
      </c>
      <c r="K43" s="667" t="s">
        <v>15</v>
      </c>
      <c r="L43" s="668"/>
      <c r="M43" s="152">
        <f>EOMONTH(CONCATENATE("01.","01.",$K$39),3)</f>
        <v>486</v>
      </c>
      <c r="N43" s="153">
        <f t="shared" si="3"/>
        <v>0</v>
      </c>
      <c r="O43" s="153">
        <f t="shared" si="4"/>
        <v>0</v>
      </c>
      <c r="P43" s="677">
        <f t="shared" si="11"/>
        <v>0</v>
      </c>
      <c r="Q43" s="678"/>
      <c r="R43" s="156">
        <f>IF($M$6=TRUE,P43*'NK_SHK, WHK u. TUT'!$B$10,IF($O$6=TRUE,P43*'NK_SHK, WHK u. TUT'!$B$12,IF(P43&gt;'NK_SHK, WHK u. TUT'!$G$11,IF($G$17="Akad. Tutor",P43*'NK_SHK, WHK u. TUT'!$B$12,('NK_SHK, WHK u. TUT'!$B$25+'NK_SHK, WHK u. TUT'!$B$26*(P43-'NK_SHK, WHK u. TUT'!$G$11))*'NK_SHK, WHK u. TUT'!$B$20-('NK_SHK, WHK u. TUT'!$B$27*(P43-'NK_SHK, WHK u. TUT'!$G$11)*('NK_SHK, WHK u. TUT'!$B$20/2))),P43*'NK_SHK, WHK u. TUT'!$B$10)))</f>
        <v>0</v>
      </c>
      <c r="S43" s="156">
        <f>IF(P43&gt;0,'NK_SHK, WHK u. TUT'!$B$4*$Q$6,0)</f>
        <v>0</v>
      </c>
      <c r="T43" s="156">
        <f t="shared" si="12"/>
        <v>0</v>
      </c>
      <c r="V43" s="667" t="s">
        <v>15</v>
      </c>
      <c r="W43" s="668"/>
      <c r="X43" s="152">
        <f>EOMONTH(CONCATENATE("01.","01.",$V$39),3)</f>
        <v>851</v>
      </c>
      <c r="Y43" s="153">
        <f t="shared" si="5"/>
        <v>0</v>
      </c>
      <c r="Z43" s="153">
        <f t="shared" si="6"/>
        <v>0</v>
      </c>
      <c r="AA43" s="677">
        <f t="shared" si="13"/>
        <v>0</v>
      </c>
      <c r="AB43" s="678"/>
      <c r="AC43" s="156">
        <f>IF($M$6=TRUE,AA43*'NK_SHK, WHK u. TUT'!$B$10,IF($O$6=TRUE,AA43*'NK_SHK, WHK u. TUT'!$B$12,IF(AA43&gt;'NK_SHK, WHK u. TUT'!$G$11,IF($G$17="Akad. Tutor",AA43*'NK_SHK, WHK u. TUT'!$B$12,('NK_SHK, WHK u. TUT'!$B$25+'NK_SHK, WHK u. TUT'!$B$26*(AA43-'NK_SHK, WHK u. TUT'!$G$11))*'NK_SHK, WHK u. TUT'!$B$20-('NK_SHK, WHK u. TUT'!$B$27*(AA43-'NK_SHK, WHK u. TUT'!$G$11)*('NK_SHK, WHK u. TUT'!$B$20/2))),AA43*'NK_SHK, WHK u. TUT'!$B$10)))</f>
        <v>0</v>
      </c>
      <c r="AD43" s="156">
        <f>IF(AA43&gt;0,'NK_SHK, WHK u. TUT'!$B$4*$Q$6,0)</f>
        <v>0</v>
      </c>
      <c r="AE43" s="156">
        <f t="shared" si="7"/>
        <v>0</v>
      </c>
    </row>
    <row r="44" spans="2:31" x14ac:dyDescent="0.35">
      <c r="B44" s="151" t="s">
        <v>16</v>
      </c>
      <c r="C44" s="152">
        <f>EOMONTH(CONCATENATE("01.","01.",$B$39),4)</f>
        <v>152</v>
      </c>
      <c r="D44" s="153">
        <f t="shared" si="1"/>
        <v>0</v>
      </c>
      <c r="E44" s="153">
        <f t="shared" si="8"/>
        <v>0</v>
      </c>
      <c r="F44" s="154" t="e">
        <f t="shared" si="9"/>
        <v>#N/A</v>
      </c>
      <c r="G44" s="156" t="e">
        <f>IF($M$6=TRUE,F44*'NK_SHK, WHK u. TUT'!$B$10,IF($O$6=TRUE,F44*'NK_SHK, WHK u. TUT'!$B$12,IF(F44&gt;'NK_SHK, WHK u. TUT'!$G$11,IF($G$17="Akad. Tutor",F44*'NK_SHK, WHK u. TUT'!$B$12,('NK_SHK, WHK u. TUT'!$B$25+'NK_SHK, WHK u. TUT'!$B$26*(F44-'NK_SHK, WHK u. TUT'!$G$11))*'NK_SHK, WHK u. TUT'!$B$20-('NK_SHK, WHK u. TUT'!$B$27*(F44-'NK_SHK, WHK u. TUT'!$G$11)*('NK_SHK, WHK u. TUT'!$B$20/2))),F44*'NK_SHK, WHK u. TUT'!$B$10)))</f>
        <v>#N/A</v>
      </c>
      <c r="H44" s="156" t="e">
        <f>IF(F44&gt;0,'NK_SHK, WHK u. TUT'!$B$4*$Q$6,0)</f>
        <v>#N/A</v>
      </c>
      <c r="I44" s="156" t="e">
        <f t="shared" si="10"/>
        <v>#N/A</v>
      </c>
      <c r="K44" s="667" t="s">
        <v>16</v>
      </c>
      <c r="L44" s="668"/>
      <c r="M44" s="152">
        <f>EOMONTH(CONCATENATE("01.","01.",$K$39),4)</f>
        <v>517</v>
      </c>
      <c r="N44" s="153">
        <f t="shared" si="3"/>
        <v>0</v>
      </c>
      <c r="O44" s="153">
        <f t="shared" si="4"/>
        <v>0</v>
      </c>
      <c r="P44" s="677">
        <f t="shared" si="11"/>
        <v>0</v>
      </c>
      <c r="Q44" s="678"/>
      <c r="R44" s="156">
        <f>IF($M$6=TRUE,P44*'NK_SHK, WHK u. TUT'!$B$10,IF($O$6=TRUE,P44*'NK_SHK, WHK u. TUT'!$B$12,IF(P44&gt;'NK_SHK, WHK u. TUT'!$G$11,IF($G$17="Akad. Tutor",P44*'NK_SHK, WHK u. TUT'!$B$12,('NK_SHK, WHK u. TUT'!$B$25+'NK_SHK, WHK u. TUT'!$B$26*(P44-'NK_SHK, WHK u. TUT'!$G$11))*'NK_SHK, WHK u. TUT'!$B$20-('NK_SHK, WHK u. TUT'!$B$27*(P44-'NK_SHK, WHK u. TUT'!$G$11)*('NK_SHK, WHK u. TUT'!$B$20/2))),P44*'NK_SHK, WHK u. TUT'!$B$10)))</f>
        <v>0</v>
      </c>
      <c r="S44" s="156">
        <f>IF(P44&gt;0,'NK_SHK, WHK u. TUT'!$B$4*$Q$6,0)</f>
        <v>0</v>
      </c>
      <c r="T44" s="156">
        <f t="shared" si="12"/>
        <v>0</v>
      </c>
      <c r="V44" s="667" t="s">
        <v>16</v>
      </c>
      <c r="W44" s="668"/>
      <c r="X44" s="152">
        <f>EOMONTH(CONCATENATE("01.","01.",$V$39),4)</f>
        <v>882</v>
      </c>
      <c r="Y44" s="153">
        <f t="shared" si="5"/>
        <v>0</v>
      </c>
      <c r="Z44" s="153">
        <f t="shared" si="6"/>
        <v>0</v>
      </c>
      <c r="AA44" s="677">
        <f t="shared" si="13"/>
        <v>0</v>
      </c>
      <c r="AB44" s="678"/>
      <c r="AC44" s="156">
        <f>IF($M$6=TRUE,AA44*'NK_SHK, WHK u. TUT'!$B$10,IF($O$6=TRUE,AA44*'NK_SHK, WHK u. TUT'!$B$12,IF(AA44&gt;'NK_SHK, WHK u. TUT'!$G$11,IF($G$17="Akad. Tutor",AA44*'NK_SHK, WHK u. TUT'!$B$12,('NK_SHK, WHK u. TUT'!$B$25+'NK_SHK, WHK u. TUT'!$B$26*(AA44-'NK_SHK, WHK u. TUT'!$G$11))*'NK_SHK, WHK u. TUT'!$B$20-('NK_SHK, WHK u. TUT'!$B$27*(AA44-'NK_SHK, WHK u. TUT'!$G$11)*('NK_SHK, WHK u. TUT'!$B$20/2))),AA44*'NK_SHK, WHK u. TUT'!$B$10)))</f>
        <v>0</v>
      </c>
      <c r="AD44" s="156">
        <f>IF(AA44&gt;0,'NK_SHK, WHK u. TUT'!$B$4*$Q$6,0)</f>
        <v>0</v>
      </c>
      <c r="AE44" s="156">
        <f t="shared" si="7"/>
        <v>0</v>
      </c>
    </row>
    <row r="45" spans="2:31" x14ac:dyDescent="0.35">
      <c r="B45" s="151" t="s">
        <v>17</v>
      </c>
      <c r="C45" s="152">
        <f>EOMONTH(CONCATENATE("01.","01.",$B$39),5)</f>
        <v>182</v>
      </c>
      <c r="D45" s="153">
        <f t="shared" si="1"/>
        <v>0</v>
      </c>
      <c r="E45" s="153">
        <f t="shared" si="8"/>
        <v>0</v>
      </c>
      <c r="F45" s="154" t="e">
        <f t="shared" si="9"/>
        <v>#N/A</v>
      </c>
      <c r="G45" s="156" t="e">
        <f>IF($M$6=TRUE,F45*'NK_SHK, WHK u. TUT'!$B$10,IF($O$6=TRUE,F45*'NK_SHK, WHK u. TUT'!$B$12,IF(F45&gt;'NK_SHK, WHK u. TUT'!$G$11,IF($G$17="Akad. Tutor",F45*'NK_SHK, WHK u. TUT'!$B$12,('NK_SHK, WHK u. TUT'!$B$25+'NK_SHK, WHK u. TUT'!$B$26*(F45-'NK_SHK, WHK u. TUT'!$G$11))*'NK_SHK, WHK u. TUT'!$B$20-('NK_SHK, WHK u. TUT'!$B$27*(F45-'NK_SHK, WHK u. TUT'!$G$11)*('NK_SHK, WHK u. TUT'!$B$20/2))),F45*'NK_SHK, WHK u. TUT'!$B$10)))</f>
        <v>#N/A</v>
      </c>
      <c r="H45" s="156" t="e">
        <f>IF(F45&gt;0,'NK_SHK, WHK u. TUT'!$B$4*$Q$6,0)</f>
        <v>#N/A</v>
      </c>
      <c r="I45" s="156" t="e">
        <f t="shared" si="10"/>
        <v>#N/A</v>
      </c>
      <c r="K45" s="667" t="s">
        <v>17</v>
      </c>
      <c r="L45" s="668"/>
      <c r="M45" s="152">
        <f>EOMONTH(CONCATENATE("01.","01.",$K$39),5)</f>
        <v>547</v>
      </c>
      <c r="N45" s="153">
        <f t="shared" si="3"/>
        <v>0</v>
      </c>
      <c r="O45" s="153">
        <f t="shared" si="4"/>
        <v>0</v>
      </c>
      <c r="P45" s="677">
        <f t="shared" si="11"/>
        <v>0</v>
      </c>
      <c r="Q45" s="678"/>
      <c r="R45" s="156">
        <f>IF($M$6=TRUE,P45*'NK_SHK, WHK u. TUT'!$B$10,IF($O$6=TRUE,P45*'NK_SHK, WHK u. TUT'!$B$12,IF(P45&gt;'NK_SHK, WHK u. TUT'!$G$11,IF($G$17="Akad. Tutor",P45*'NK_SHK, WHK u. TUT'!$B$12,('NK_SHK, WHK u. TUT'!$B$25+'NK_SHK, WHK u. TUT'!$B$26*(P45-'NK_SHK, WHK u. TUT'!$G$11))*'NK_SHK, WHK u. TUT'!$B$20-('NK_SHK, WHK u. TUT'!$B$27*(P45-'NK_SHK, WHK u. TUT'!$G$11)*('NK_SHK, WHK u. TUT'!$B$20/2))),P45*'NK_SHK, WHK u. TUT'!$B$10)))</f>
        <v>0</v>
      </c>
      <c r="S45" s="156">
        <f>IF(P45&gt;0,'NK_SHK, WHK u. TUT'!$B$4*$Q$6,0)</f>
        <v>0</v>
      </c>
      <c r="T45" s="156">
        <f t="shared" si="12"/>
        <v>0</v>
      </c>
      <c r="V45" s="667" t="s">
        <v>17</v>
      </c>
      <c r="W45" s="668"/>
      <c r="X45" s="152">
        <f>EOMONTH(CONCATENATE("01.","01.",$V$39),5)</f>
        <v>912</v>
      </c>
      <c r="Y45" s="153">
        <f t="shared" si="5"/>
        <v>0</v>
      </c>
      <c r="Z45" s="153">
        <f t="shared" si="6"/>
        <v>0</v>
      </c>
      <c r="AA45" s="677">
        <f t="shared" si="13"/>
        <v>0</v>
      </c>
      <c r="AB45" s="678"/>
      <c r="AC45" s="156">
        <f>IF($M$6=TRUE,AA45*'NK_SHK, WHK u. TUT'!$B$10,IF($O$6=TRUE,AA45*'NK_SHK, WHK u. TUT'!$B$12,IF(AA45&gt;'NK_SHK, WHK u. TUT'!$G$11,IF($G$17="Akad. Tutor",AA45*'NK_SHK, WHK u. TUT'!$B$12,('NK_SHK, WHK u. TUT'!$B$25+'NK_SHK, WHK u. TUT'!$B$26*(AA45-'NK_SHK, WHK u. TUT'!$G$11))*'NK_SHK, WHK u. TUT'!$B$20-('NK_SHK, WHK u. TUT'!$B$27*(AA45-'NK_SHK, WHK u. TUT'!$G$11)*('NK_SHK, WHK u. TUT'!$B$20/2))),AA45*'NK_SHK, WHK u. TUT'!$B$10)))</f>
        <v>0</v>
      </c>
      <c r="AD45" s="156">
        <f>IF(AA45&gt;0,'NK_SHK, WHK u. TUT'!$B$4*$Q$6,0)</f>
        <v>0</v>
      </c>
      <c r="AE45" s="156">
        <f t="shared" si="7"/>
        <v>0</v>
      </c>
    </row>
    <row r="46" spans="2:31" x14ac:dyDescent="0.35">
      <c r="B46" s="151" t="s">
        <v>18</v>
      </c>
      <c r="C46" s="152">
        <f>EOMONTH(CONCATENATE("01.","01.",$B$39),6)</f>
        <v>213</v>
      </c>
      <c r="D46" s="153">
        <f t="shared" si="1"/>
        <v>0</v>
      </c>
      <c r="E46" s="153">
        <f t="shared" si="8"/>
        <v>0</v>
      </c>
      <c r="F46" s="154" t="e">
        <f t="shared" si="9"/>
        <v>#N/A</v>
      </c>
      <c r="G46" s="156" t="e">
        <f>IF($M$6=TRUE,F46*'NK_SHK, WHK u. TUT'!$B$10,IF($O$6=TRUE,F46*'NK_SHK, WHK u. TUT'!$B$12,IF(F46&gt;'NK_SHK, WHK u. TUT'!$G$11,IF($G$17="Akad. Tutor",F46*'NK_SHK, WHK u. TUT'!$B$12,('NK_SHK, WHK u. TUT'!$B$25+'NK_SHK, WHK u. TUT'!$B$26*(F46-'NK_SHK, WHK u. TUT'!$G$11))*'NK_SHK, WHK u. TUT'!$B$20-('NK_SHK, WHK u. TUT'!$B$27*(F46-'NK_SHK, WHK u. TUT'!$G$11)*('NK_SHK, WHK u. TUT'!$B$20/2))),F46*'NK_SHK, WHK u. TUT'!$B$10)))</f>
        <v>#N/A</v>
      </c>
      <c r="H46" s="156" t="e">
        <f>IF(F46&gt;0,'NK_SHK, WHK u. TUT'!$B$4*$Q$6,0)</f>
        <v>#N/A</v>
      </c>
      <c r="I46" s="156" t="e">
        <f t="shared" si="10"/>
        <v>#N/A</v>
      </c>
      <c r="K46" s="667" t="s">
        <v>18</v>
      </c>
      <c r="L46" s="668"/>
      <c r="M46" s="152">
        <f>EOMONTH(CONCATENATE("01.","01.",$K$39),6)</f>
        <v>578</v>
      </c>
      <c r="N46" s="153">
        <f t="shared" si="3"/>
        <v>0</v>
      </c>
      <c r="O46" s="153">
        <f t="shared" si="4"/>
        <v>0</v>
      </c>
      <c r="P46" s="677">
        <f t="shared" si="11"/>
        <v>0</v>
      </c>
      <c r="Q46" s="678"/>
      <c r="R46" s="156">
        <f>IF($M$6=TRUE,P46*'NK_SHK, WHK u. TUT'!$B$10,IF($O$6=TRUE,P46*'NK_SHK, WHK u. TUT'!$B$12,IF(P46&gt;'NK_SHK, WHK u. TUT'!$G$11,IF($G$17="Akad. Tutor",P46*'NK_SHK, WHK u. TUT'!$B$12,('NK_SHK, WHK u. TUT'!$B$25+'NK_SHK, WHK u. TUT'!$B$26*(P46-'NK_SHK, WHK u. TUT'!$G$11))*'NK_SHK, WHK u. TUT'!$B$20-('NK_SHK, WHK u. TUT'!$B$27*(P46-'NK_SHK, WHK u. TUT'!$G$11)*('NK_SHK, WHK u. TUT'!$B$20/2))),P46*'NK_SHK, WHK u. TUT'!$B$10)))</f>
        <v>0</v>
      </c>
      <c r="S46" s="156">
        <f>IF(P46&gt;0,'NK_SHK, WHK u. TUT'!$B$4*$Q$6,0)</f>
        <v>0</v>
      </c>
      <c r="T46" s="156">
        <f t="shared" si="12"/>
        <v>0</v>
      </c>
      <c r="V46" s="667" t="s">
        <v>18</v>
      </c>
      <c r="W46" s="668"/>
      <c r="X46" s="152">
        <f>EOMONTH(CONCATENATE("01.","01.",$V$39),6)</f>
        <v>943</v>
      </c>
      <c r="Y46" s="153">
        <f t="shared" si="5"/>
        <v>0</v>
      </c>
      <c r="Z46" s="153">
        <f t="shared" si="6"/>
        <v>0</v>
      </c>
      <c r="AA46" s="677">
        <f t="shared" si="13"/>
        <v>0</v>
      </c>
      <c r="AB46" s="678"/>
      <c r="AC46" s="156">
        <f>IF($M$6=TRUE,AA46*'NK_SHK, WHK u. TUT'!$B$10,IF($O$6=TRUE,AA46*'NK_SHK, WHK u. TUT'!$B$12,IF(AA46&gt;'NK_SHK, WHK u. TUT'!$G$11,IF($G$17="Akad. Tutor",AA46*'NK_SHK, WHK u. TUT'!$B$12,('NK_SHK, WHK u. TUT'!$B$25+'NK_SHK, WHK u. TUT'!$B$26*(AA46-'NK_SHK, WHK u. TUT'!$G$11))*'NK_SHK, WHK u. TUT'!$B$20-('NK_SHK, WHK u. TUT'!$B$27*(AA46-'NK_SHK, WHK u. TUT'!$G$11)*('NK_SHK, WHK u. TUT'!$B$20/2))),AA46*'NK_SHK, WHK u. TUT'!$B$10)))</f>
        <v>0</v>
      </c>
      <c r="AD46" s="156">
        <f>IF(AA46&gt;0,'NK_SHK, WHK u. TUT'!$B$4*$Q$6,0)</f>
        <v>0</v>
      </c>
      <c r="AE46" s="156">
        <f t="shared" si="7"/>
        <v>0</v>
      </c>
    </row>
    <row r="47" spans="2:31" x14ac:dyDescent="0.35">
      <c r="B47" s="151" t="s">
        <v>19</v>
      </c>
      <c r="C47" s="152">
        <f>EOMONTH(CONCATENATE("01.","01.",$B$39),7)</f>
        <v>244</v>
      </c>
      <c r="D47" s="153">
        <f t="shared" si="1"/>
        <v>0</v>
      </c>
      <c r="E47" s="153">
        <f t="shared" si="8"/>
        <v>0</v>
      </c>
      <c r="F47" s="154" t="e">
        <f t="shared" si="9"/>
        <v>#N/A</v>
      </c>
      <c r="G47" s="156" t="e">
        <f>IF($M$6=TRUE,F47*'NK_SHK, WHK u. TUT'!$B$10,IF($O$6=TRUE,F47*'NK_SHK, WHK u. TUT'!$B$12,IF(F47&gt;'NK_SHK, WHK u. TUT'!$G$11,IF($G$17="Akad. Tutor",F47*'NK_SHK, WHK u. TUT'!$B$12,('NK_SHK, WHK u. TUT'!$B$25+'NK_SHK, WHK u. TUT'!$B$26*(F47-'NK_SHK, WHK u. TUT'!$G$11))*'NK_SHK, WHK u. TUT'!$B$20-('NK_SHK, WHK u. TUT'!$B$27*(F47-'NK_SHK, WHK u. TUT'!$G$11)*('NK_SHK, WHK u. TUT'!$B$20/2))),F47*'NK_SHK, WHK u. TUT'!$B$10)))</f>
        <v>#N/A</v>
      </c>
      <c r="H47" s="156" t="e">
        <f>IF(F47&gt;0,'NK_SHK, WHK u. TUT'!$B$4*$Q$6,0)</f>
        <v>#N/A</v>
      </c>
      <c r="I47" s="156" t="e">
        <f t="shared" si="10"/>
        <v>#N/A</v>
      </c>
      <c r="K47" s="667" t="s">
        <v>19</v>
      </c>
      <c r="L47" s="668"/>
      <c r="M47" s="152">
        <f>EOMONTH(CONCATENATE("01.","01.",$K$39),7)</f>
        <v>609</v>
      </c>
      <c r="N47" s="153">
        <f t="shared" si="3"/>
        <v>0</v>
      </c>
      <c r="O47" s="153">
        <f t="shared" si="4"/>
        <v>0</v>
      </c>
      <c r="P47" s="677">
        <f t="shared" si="11"/>
        <v>0</v>
      </c>
      <c r="Q47" s="678"/>
      <c r="R47" s="156">
        <f>IF($M$6=TRUE,P47*'NK_SHK, WHK u. TUT'!$B$10,IF($O$6=TRUE,P47*'NK_SHK, WHK u. TUT'!$B$12,IF(P47&gt;'NK_SHK, WHK u. TUT'!$G$11,IF($G$17="Akad. Tutor",P47*'NK_SHK, WHK u. TUT'!$B$12,('NK_SHK, WHK u. TUT'!$B$25+'NK_SHK, WHK u. TUT'!$B$26*(P47-'NK_SHK, WHK u. TUT'!$G$11))*'NK_SHK, WHK u. TUT'!$B$20-('NK_SHK, WHK u. TUT'!$B$27*(P47-'NK_SHK, WHK u. TUT'!$G$11)*('NK_SHK, WHK u. TUT'!$B$20/2))),P47*'NK_SHK, WHK u. TUT'!$B$10)))</f>
        <v>0</v>
      </c>
      <c r="S47" s="156">
        <f>IF(P47&gt;0,'NK_SHK, WHK u. TUT'!$B$4*$Q$6,0)</f>
        <v>0</v>
      </c>
      <c r="T47" s="156">
        <f t="shared" si="12"/>
        <v>0</v>
      </c>
      <c r="V47" s="667" t="s">
        <v>19</v>
      </c>
      <c r="W47" s="668"/>
      <c r="X47" s="152">
        <f>EOMONTH(CONCATENATE("01.","01.",$V$39),7)</f>
        <v>974</v>
      </c>
      <c r="Y47" s="153">
        <f t="shared" ref="Y47:Y51" si="14">IF($R$14="",0,IF(AND(DAY($R$14)&gt;1,MONTH(X47)=MONTH($R$14)),$S$15,IF(AND(X47&gt;=$R$14,X47&lt;=$S$14),30,IF((MONTH(X47)=MONTH($S$14)),DAY($S$14),0))))</f>
        <v>0</v>
      </c>
      <c r="Z47" s="153">
        <f t="shared" si="6"/>
        <v>0</v>
      </c>
      <c r="AA47" s="677">
        <f t="shared" si="13"/>
        <v>0</v>
      </c>
      <c r="AB47" s="678"/>
      <c r="AC47" s="156">
        <f>IF($M$6=TRUE,AA47*'NK_SHK, WHK u. TUT'!$B$10,IF($O$6=TRUE,AA47*'NK_SHK, WHK u. TUT'!$B$12,IF(AA47&gt;'NK_SHK, WHK u. TUT'!$G$11,IF($G$17="Akad. Tutor",AA47*'NK_SHK, WHK u. TUT'!$B$12,('NK_SHK, WHK u. TUT'!$B$25+'NK_SHK, WHK u. TUT'!$B$26*(AA47-'NK_SHK, WHK u. TUT'!$G$11))*'NK_SHK, WHK u. TUT'!$B$20-('NK_SHK, WHK u. TUT'!$B$27*(AA47-'NK_SHK, WHK u. TUT'!$G$11)*('NK_SHK, WHK u. TUT'!$B$20/2))),AA47*'NK_SHK, WHK u. TUT'!$B$10)))</f>
        <v>0</v>
      </c>
      <c r="AD47" s="156">
        <f>IF(AA47&gt;0,'NK_SHK, WHK u. TUT'!$B$4*$Q$6,0)</f>
        <v>0</v>
      </c>
      <c r="AE47" s="156">
        <f t="shared" si="7"/>
        <v>0</v>
      </c>
    </row>
    <row r="48" spans="2:31" x14ac:dyDescent="0.35">
      <c r="B48" s="151" t="s">
        <v>20</v>
      </c>
      <c r="C48" s="152">
        <f>EOMONTH(CONCATENATE("01.","01.",$B$39),8)</f>
        <v>274</v>
      </c>
      <c r="D48" s="153">
        <f t="shared" si="1"/>
        <v>0</v>
      </c>
      <c r="E48" s="153">
        <f t="shared" si="8"/>
        <v>0</v>
      </c>
      <c r="F48" s="154" t="e">
        <f t="shared" si="9"/>
        <v>#N/A</v>
      </c>
      <c r="G48" s="156" t="e">
        <f>IF($M$6=TRUE,F48*'NK_SHK, WHK u. TUT'!$B$10,IF($O$6=TRUE,F48*'NK_SHK, WHK u. TUT'!$B$12,IF(F48&gt;'NK_SHK, WHK u. TUT'!$G$11,IF($G$17="Akad. Tutor",F48*'NK_SHK, WHK u. TUT'!$B$12,('NK_SHK, WHK u. TUT'!$B$25+'NK_SHK, WHK u. TUT'!$B$26*(F48-'NK_SHK, WHK u. TUT'!$G$11))*'NK_SHK, WHK u. TUT'!$B$20-('NK_SHK, WHK u. TUT'!$B$27*(F48-'NK_SHK, WHK u. TUT'!$G$11)*('NK_SHK, WHK u. TUT'!$B$20/2))),F48*'NK_SHK, WHK u. TUT'!$B$10)))</f>
        <v>#N/A</v>
      </c>
      <c r="H48" s="156" t="e">
        <f>IF(F48&gt;0,'NK_SHK, WHK u. TUT'!$B$4*$Q$6,0)</f>
        <v>#N/A</v>
      </c>
      <c r="I48" s="156" t="e">
        <f t="shared" si="10"/>
        <v>#N/A</v>
      </c>
      <c r="K48" s="667" t="s">
        <v>20</v>
      </c>
      <c r="L48" s="668"/>
      <c r="M48" s="152">
        <f>EOMONTH(CONCATENATE("01.","01.",$K$39),8)</f>
        <v>639</v>
      </c>
      <c r="N48" s="153">
        <f t="shared" si="3"/>
        <v>0</v>
      </c>
      <c r="O48" s="153">
        <f t="shared" si="4"/>
        <v>0</v>
      </c>
      <c r="P48" s="677">
        <f t="shared" si="11"/>
        <v>0</v>
      </c>
      <c r="Q48" s="678"/>
      <c r="R48" s="156">
        <f>IF($M$6=TRUE,P48*'NK_SHK, WHK u. TUT'!$B$10,IF($O$6=TRUE,P48*'NK_SHK, WHK u. TUT'!$B$12,IF(P48&gt;'NK_SHK, WHK u. TUT'!$G$11,IF($G$17="Akad. Tutor",P48*'NK_SHK, WHK u. TUT'!$B$12,('NK_SHK, WHK u. TUT'!$B$25+'NK_SHK, WHK u. TUT'!$B$26*(P48-'NK_SHK, WHK u. TUT'!$G$11))*'NK_SHK, WHK u. TUT'!$B$20-('NK_SHK, WHK u. TUT'!$B$27*(P48-'NK_SHK, WHK u. TUT'!$G$11)*('NK_SHK, WHK u. TUT'!$B$20/2))),P48*'NK_SHK, WHK u. TUT'!$B$10)))</f>
        <v>0</v>
      </c>
      <c r="S48" s="156">
        <f>IF(P48&gt;0,'NK_SHK, WHK u. TUT'!$B$4*$Q$6,0)</f>
        <v>0</v>
      </c>
      <c r="T48" s="156">
        <f t="shared" si="12"/>
        <v>0</v>
      </c>
      <c r="V48" s="667" t="s">
        <v>20</v>
      </c>
      <c r="W48" s="668"/>
      <c r="X48" s="152">
        <f>EOMONTH(CONCATENATE("01.","01.",$V$39),8)</f>
        <v>1004</v>
      </c>
      <c r="Y48" s="153">
        <f t="shared" si="14"/>
        <v>0</v>
      </c>
      <c r="Z48" s="153">
        <f t="shared" si="6"/>
        <v>0</v>
      </c>
      <c r="AA48" s="677">
        <f t="shared" si="13"/>
        <v>0</v>
      </c>
      <c r="AB48" s="678"/>
      <c r="AC48" s="156">
        <f>IF($M$6=TRUE,AA48*'NK_SHK, WHK u. TUT'!$B$10,IF($O$6=TRUE,AA48*'NK_SHK, WHK u. TUT'!$B$12,IF(AA48&gt;'NK_SHK, WHK u. TUT'!$G$11,IF($G$17="Akad. Tutor",AA48*'NK_SHK, WHK u. TUT'!$B$12,('NK_SHK, WHK u. TUT'!$B$25+'NK_SHK, WHK u. TUT'!$B$26*(AA48-'NK_SHK, WHK u. TUT'!$G$11))*'NK_SHK, WHK u. TUT'!$B$20-('NK_SHK, WHK u. TUT'!$B$27*(AA48-'NK_SHK, WHK u. TUT'!$G$11)*('NK_SHK, WHK u. TUT'!$B$20/2))),AA48*'NK_SHK, WHK u. TUT'!$B$10)))</f>
        <v>0</v>
      </c>
      <c r="AD48" s="156">
        <f>IF(AA48&gt;0,'NK_SHK, WHK u. TUT'!$B$4*$Q$6,0)</f>
        <v>0</v>
      </c>
      <c r="AE48" s="156">
        <f t="shared" si="7"/>
        <v>0</v>
      </c>
    </row>
    <row r="49" spans="2:31" x14ac:dyDescent="0.35">
      <c r="B49" s="151" t="s">
        <v>21</v>
      </c>
      <c r="C49" s="152">
        <f>EOMONTH(CONCATENATE("01.","01.",$B$39),9)</f>
        <v>305</v>
      </c>
      <c r="D49" s="153">
        <f t="shared" si="1"/>
        <v>0</v>
      </c>
      <c r="E49" s="153">
        <f t="shared" si="8"/>
        <v>0</v>
      </c>
      <c r="F49" s="154" t="e">
        <f t="shared" si="9"/>
        <v>#N/A</v>
      </c>
      <c r="G49" s="156" t="e">
        <f>IF($M$6=TRUE,F49*'NK_SHK, WHK u. TUT'!$B$10,IF($O$6=TRUE,F49*'NK_SHK, WHK u. TUT'!$B$12,IF(F49&gt;'NK_SHK, WHK u. TUT'!$G$11,IF($G$17="Akad. Tutor",F49*'NK_SHK, WHK u. TUT'!$B$12,('NK_SHK, WHK u. TUT'!$B$25+'NK_SHK, WHK u. TUT'!$B$26*(F49-'NK_SHK, WHK u. TUT'!$G$11))*'NK_SHK, WHK u. TUT'!$B$20-('NK_SHK, WHK u. TUT'!$B$27*(F49-'NK_SHK, WHK u. TUT'!$G$11)*('NK_SHK, WHK u. TUT'!$B$20/2))),F49*'NK_SHK, WHK u. TUT'!$B$10)))</f>
        <v>#N/A</v>
      </c>
      <c r="H49" s="156" t="e">
        <f>IF(F49&gt;0,'NK_SHK, WHK u. TUT'!$B$4*$Q$6,0)</f>
        <v>#N/A</v>
      </c>
      <c r="I49" s="156" t="e">
        <f t="shared" si="10"/>
        <v>#N/A</v>
      </c>
      <c r="K49" s="667" t="s">
        <v>21</v>
      </c>
      <c r="L49" s="668"/>
      <c r="M49" s="152">
        <f>EOMONTH(CONCATENATE("01.","01.",$K$39),9)</f>
        <v>670</v>
      </c>
      <c r="N49" s="153">
        <f t="shared" si="3"/>
        <v>0</v>
      </c>
      <c r="O49" s="153">
        <f t="shared" si="4"/>
        <v>0</v>
      </c>
      <c r="P49" s="677">
        <f t="shared" si="11"/>
        <v>0</v>
      </c>
      <c r="Q49" s="678"/>
      <c r="R49" s="156">
        <f>IF($M$6=TRUE,P49*'NK_SHK, WHK u. TUT'!$B$10,IF($O$6=TRUE,P49*'NK_SHK, WHK u. TUT'!$B$12,IF(P49&gt;'NK_SHK, WHK u. TUT'!$G$11,IF($G$17="Akad. Tutor",P49*'NK_SHK, WHK u. TUT'!$B$12,('NK_SHK, WHK u. TUT'!$B$25+'NK_SHK, WHK u. TUT'!$B$26*(P49-'NK_SHK, WHK u. TUT'!$G$11))*'NK_SHK, WHK u. TUT'!$B$20-('NK_SHK, WHK u. TUT'!$B$27*(P49-'NK_SHK, WHK u. TUT'!$G$11)*('NK_SHK, WHK u. TUT'!$B$20/2))),P49*'NK_SHK, WHK u. TUT'!$B$10)))</f>
        <v>0</v>
      </c>
      <c r="S49" s="156">
        <f>IF(P49&gt;0,'NK_SHK, WHK u. TUT'!$B$4*$Q$6,0)</f>
        <v>0</v>
      </c>
      <c r="T49" s="156">
        <f t="shared" si="12"/>
        <v>0</v>
      </c>
      <c r="V49" s="667" t="s">
        <v>21</v>
      </c>
      <c r="W49" s="668"/>
      <c r="X49" s="152">
        <f>EOMONTH(CONCATENATE("01.","01.",$V$39),9)</f>
        <v>1035</v>
      </c>
      <c r="Y49" s="153">
        <f t="shared" si="14"/>
        <v>0</v>
      </c>
      <c r="Z49" s="153">
        <f t="shared" si="6"/>
        <v>0</v>
      </c>
      <c r="AA49" s="677">
        <f>(Y49*$R$16/30)+(Z49*$T$16/30)</f>
        <v>0</v>
      </c>
      <c r="AB49" s="678"/>
      <c r="AC49" s="156">
        <f>IF($M$6=TRUE,AA49*'NK_SHK, WHK u. TUT'!$B$10,IF($O$6=TRUE,AA49*'NK_SHK, WHK u. TUT'!$B$12,IF(AA49&gt;'NK_SHK, WHK u. TUT'!$G$11,IF($G$17="Akad. Tutor",AA49*'NK_SHK, WHK u. TUT'!$B$12,('NK_SHK, WHK u. TUT'!$B$25+'NK_SHK, WHK u. TUT'!$B$26*(AA49-'NK_SHK, WHK u. TUT'!$G$11))*'NK_SHK, WHK u. TUT'!$B$20-('NK_SHK, WHK u. TUT'!$B$27*(AA49-'NK_SHK, WHK u. TUT'!$G$11)*('NK_SHK, WHK u. TUT'!$B$20/2))),AA49*'NK_SHK, WHK u. TUT'!$B$10)))</f>
        <v>0</v>
      </c>
      <c r="AD49" s="156">
        <f>IF(AA49&gt;0,'NK_SHK, WHK u. TUT'!$B$4*$Q$6,0)</f>
        <v>0</v>
      </c>
      <c r="AE49" s="156">
        <f t="shared" si="7"/>
        <v>0</v>
      </c>
    </row>
    <row r="50" spans="2:31" x14ac:dyDescent="0.35">
      <c r="B50" s="151" t="s">
        <v>22</v>
      </c>
      <c r="C50" s="152">
        <f>EOMONTH(CONCATENATE("01.","01.",$B$39),10)</f>
        <v>335</v>
      </c>
      <c r="D50" s="153">
        <f t="shared" si="1"/>
        <v>0</v>
      </c>
      <c r="E50" s="153">
        <f>IF($I$14="",0,IF(OR(MONTH(C50)&gt;MONTH($J$14),MONTH(C50)&lt;MONTH($I$14)),0,IF($I$14="",0,IF(AND(MONTH($I$14)=MONTH($J$14),MONTH(C50)=MONTH($J$14)),$J$15,IF(AND(MONTH($I$14)&lt;&gt;MONTH($J$14),MONTH(C50)=MONTH($I$14)),$J$15,IF(D50&gt;0,30-D50,IF(AND(C50&gt;=$I$14,C50&lt;=$J$14),30,IF((MONTH(C50)=MONTH($J$14)),DAY($J$14),IF(AND(D50&gt;0,DAY($G$14)&gt;1,MONTH($G$14)=MONTH($H$14)),30-D50-DAY($G$14)+1,IF(AND(D50&gt;0,DAY($G$14)&gt;1),30-D50,0))))))))))</f>
        <v>0</v>
      </c>
      <c r="F50" s="154" t="e">
        <f t="shared" si="9"/>
        <v>#N/A</v>
      </c>
      <c r="G50" s="156" t="e">
        <f>IF($M$6=TRUE,F50*'NK_SHK, WHK u. TUT'!$B$10,IF($O$6=TRUE,F50*'NK_SHK, WHK u. TUT'!$B$12,IF(F50&gt;'NK_SHK, WHK u. TUT'!$G$11,IF($G$17="Akad. Tutor",F50*'NK_SHK, WHK u. TUT'!$B$12,('NK_SHK, WHK u. TUT'!$B$25+'NK_SHK, WHK u. TUT'!$B$26*(F50-'NK_SHK, WHK u. TUT'!$G$11))*'NK_SHK, WHK u. TUT'!$B$20-('NK_SHK, WHK u. TUT'!$B$27*(F50-'NK_SHK, WHK u. TUT'!$G$11)*('NK_SHK, WHK u. TUT'!$B$20/2))),F50*'NK_SHK, WHK u. TUT'!$B$10)))</f>
        <v>#N/A</v>
      </c>
      <c r="H50" s="156" t="e">
        <f>IF(F50&gt;0,'NK_SHK, WHK u. TUT'!$B$4*$Q$6,0)</f>
        <v>#N/A</v>
      </c>
      <c r="I50" s="156" t="e">
        <f t="shared" si="10"/>
        <v>#N/A</v>
      </c>
      <c r="K50" s="667" t="s">
        <v>22</v>
      </c>
      <c r="L50" s="668"/>
      <c r="M50" s="152">
        <f>EOMONTH(CONCATENATE("01.","01.",$K$39),10)</f>
        <v>700</v>
      </c>
      <c r="N50" s="153">
        <f t="shared" si="3"/>
        <v>0</v>
      </c>
      <c r="O50" s="153">
        <f t="shared" si="4"/>
        <v>0</v>
      </c>
      <c r="P50" s="677">
        <f t="shared" si="11"/>
        <v>0</v>
      </c>
      <c r="Q50" s="678"/>
      <c r="R50" s="156">
        <f>IF($M$6=TRUE,P50*'NK_SHK, WHK u. TUT'!$B$10,IF($O$6=TRUE,P50*'NK_SHK, WHK u. TUT'!$B$12,IF(P50&gt;'NK_SHK, WHK u. TUT'!$G$11,IF($G$17="Akad. Tutor",P50*'NK_SHK, WHK u. TUT'!$B$12,('NK_SHK, WHK u. TUT'!$B$25+'NK_SHK, WHK u. TUT'!$B$26*(P50-'NK_SHK, WHK u. TUT'!$G$11))*'NK_SHK, WHK u. TUT'!$B$20-('NK_SHK, WHK u. TUT'!$B$27*(P50-'NK_SHK, WHK u. TUT'!$G$11)*('NK_SHK, WHK u. TUT'!$B$20/2))),P50*'NK_SHK, WHK u. TUT'!$B$10)))</f>
        <v>0</v>
      </c>
      <c r="S50" s="156">
        <f>IF(P50&gt;0,'NK_SHK, WHK u. TUT'!$B$4*$Q$6,0)</f>
        <v>0</v>
      </c>
      <c r="T50" s="156">
        <f t="shared" si="12"/>
        <v>0</v>
      </c>
      <c r="V50" s="667" t="s">
        <v>22</v>
      </c>
      <c r="W50" s="668"/>
      <c r="X50" s="152">
        <f>EOMONTH(CONCATENATE("01.","01.",$V$39),10)</f>
        <v>1065</v>
      </c>
      <c r="Y50" s="153">
        <f t="shared" si="14"/>
        <v>0</v>
      </c>
      <c r="Z50" s="153">
        <f t="shared" si="6"/>
        <v>0</v>
      </c>
      <c r="AA50" s="677">
        <f>(Y50*$R$16/30)+(Z50*$T$16/30)</f>
        <v>0</v>
      </c>
      <c r="AB50" s="678"/>
      <c r="AC50" s="156">
        <f>IF($M$6=TRUE,AA50*'NK_SHK, WHK u. TUT'!$B$10,IF($O$6=TRUE,AA50*'NK_SHK, WHK u. TUT'!$B$12,IF(AA50&gt;'NK_SHK, WHK u. TUT'!$G$11,IF($G$17="Akad. Tutor",AA50*'NK_SHK, WHK u. TUT'!$B$12,('NK_SHK, WHK u. TUT'!$B$25+'NK_SHK, WHK u. TUT'!$B$26*(AA50-'NK_SHK, WHK u. TUT'!$G$11))*'NK_SHK, WHK u. TUT'!$B$20-('NK_SHK, WHK u. TUT'!$B$27*(AA50-'NK_SHK, WHK u. TUT'!$G$11)*('NK_SHK, WHK u. TUT'!$B$20/2))),AA50*'NK_SHK, WHK u. TUT'!$B$10)))</f>
        <v>0</v>
      </c>
      <c r="AD50" s="156">
        <f>IF(AA50&gt;0,'NK_SHK, WHK u. TUT'!$B$4*$Q$6,0)</f>
        <v>0</v>
      </c>
      <c r="AE50" s="156">
        <f t="shared" si="7"/>
        <v>0</v>
      </c>
    </row>
    <row r="51" spans="2:31" x14ac:dyDescent="0.35">
      <c r="B51" s="151" t="s">
        <v>23</v>
      </c>
      <c r="C51" s="152">
        <f>EOMONTH(CONCATENATE("01.","01.",$B$39),11)</f>
        <v>366</v>
      </c>
      <c r="D51" s="153">
        <f t="shared" si="1"/>
        <v>0</v>
      </c>
      <c r="E51" s="153">
        <f>IF($I$14="",0,IF(OR(MONTH(C51)&gt;MONTH($J$14),MONTH(C51)&lt;MONTH($I$14)),0,IF($I$14="",0,IF(AND(MONTH($I$14)=MONTH($J$14),MONTH(C51)=MONTH($J$14)),$J$15,IF(AND(MONTH($I$14)&lt;&gt;MONTH($J$14),MONTH(C51)=MONTH($I$14)),$J$15,IF(D51&gt;0,30-D51,IF(AND(C51&gt;=$I$14,C51&lt;=$J$14),30,IF((MONTH(C51)=MONTH($J$14)),DAY($J$14),IF(AND(D51&gt;0,DAY($G$14)&gt;1,MONTH($G$14)=MONTH($H$14)),30-D51-DAY($G$14)+1,IF(AND(D51&gt;0,DAY($G$14)&gt;1),30-D51,0))))))))))</f>
        <v>0</v>
      </c>
      <c r="F51" s="154" t="e">
        <f t="shared" si="9"/>
        <v>#N/A</v>
      </c>
      <c r="G51" s="156" t="e">
        <f>IF($M$6=TRUE,F51*'NK_SHK, WHK u. TUT'!$B$10,IF($O$6=TRUE,F51*'NK_SHK, WHK u. TUT'!$B$12,IF(F51&gt;'NK_SHK, WHK u. TUT'!$G$11,IF($G$17="Akad. Tutor",F51*'NK_SHK, WHK u. TUT'!$B$12,('NK_SHK, WHK u. TUT'!$B$25+'NK_SHK, WHK u. TUT'!$B$26*(F51-'NK_SHK, WHK u. TUT'!$G$11))*'NK_SHK, WHK u. TUT'!$B$20-('NK_SHK, WHK u. TUT'!$B$27*(F51-'NK_SHK, WHK u. TUT'!$G$11)*('NK_SHK, WHK u. TUT'!$B$20/2))),F51*'NK_SHK, WHK u. TUT'!$B$10)))</f>
        <v>#N/A</v>
      </c>
      <c r="H51" s="156" t="e">
        <f>IF(F51&gt;0,'NK_SHK, WHK u. TUT'!$B$4*$Q$6,0)</f>
        <v>#N/A</v>
      </c>
      <c r="I51" s="156" t="e">
        <f t="shared" si="10"/>
        <v>#N/A</v>
      </c>
      <c r="K51" s="667" t="s">
        <v>23</v>
      </c>
      <c r="L51" s="668"/>
      <c r="M51" s="152">
        <f>EOMONTH(CONCATENATE("01.","01.",$K$39),11)</f>
        <v>731</v>
      </c>
      <c r="N51" s="153">
        <f t="shared" si="3"/>
        <v>0</v>
      </c>
      <c r="O51" s="153">
        <f>IF($P$14="",0,IF(M51&lt;$P$14,0,IF(AND(MONTH($P$14)=MONTH($Q$14),MONTH(M51)=MONTH($Q$14)),$Q$15,(IF(N51&gt;0,30-N51,IF(AND(M51&gt;=$P$14,M51&lt;=$Q$14),30,IF((MONTH(M51)=MONTH($Q$14)),DAY($Q$14),IF(AND(MONTH($P$14)&lt;&gt;MONTH($Q$14),MONTH(M51)=MONTH($P$14)),$Q$15,IF(AND(N51&gt;0,DAY($K$14)&gt;1,MONTH($K$14)=MONTH($L$14)),30-N51-DAY($K$14)+1,IF(AND(N51&gt;0,DAY($K$14)&gt;1),30-N51,0))))))))))</f>
        <v>0</v>
      </c>
      <c r="P51" s="677">
        <f t="shared" si="11"/>
        <v>0</v>
      </c>
      <c r="Q51" s="678"/>
      <c r="R51" s="156">
        <f>IF($M$6=TRUE,P51*'NK_SHK, WHK u. TUT'!$B$10,IF($O$6=TRUE,P51*'NK_SHK, WHK u. TUT'!$B$12,IF(P51&gt;'NK_SHK, WHK u. TUT'!$G$11,IF($G$17="Akad. Tutor",P51*'NK_SHK, WHK u. TUT'!$B$12,('NK_SHK, WHK u. TUT'!$B$25+'NK_SHK, WHK u. TUT'!$B$26*(P51-'NK_SHK, WHK u. TUT'!$G$11))*'NK_SHK, WHK u. TUT'!$B$20-('NK_SHK, WHK u. TUT'!$B$27*(P51-'NK_SHK, WHK u. TUT'!$G$11)*('NK_SHK, WHK u. TUT'!$B$20/2))),P51*'NK_SHK, WHK u. TUT'!$B$10)))</f>
        <v>0</v>
      </c>
      <c r="S51" s="156">
        <f>IF(P51&gt;0,'NK_SHK, WHK u. TUT'!$B$4*$Q$6,0)</f>
        <v>0</v>
      </c>
      <c r="T51" s="156">
        <f t="shared" si="12"/>
        <v>0</v>
      </c>
      <c r="V51" s="667" t="s">
        <v>23</v>
      </c>
      <c r="W51" s="668"/>
      <c r="X51" s="152">
        <f>EOMONTH(CONCATENATE("01.","01.",$V$39),11)</f>
        <v>1096</v>
      </c>
      <c r="Y51" s="153">
        <f t="shared" si="14"/>
        <v>0</v>
      </c>
      <c r="Z51" s="153">
        <f>IF($T$14="",0,IF(X51&lt;$T$14,0,IF(AND(MONTH($T$14)=MONTH($U$14),MONTH(X51)=MONTH($U$14)),$U$15,(IF(Y51&gt;0,30-Y51,IF(AND(X51&gt;=$T$14,X51&lt;=$U$14),30,IF((MONTH(X51)=MONTH($U$14)),DAY($U$14),IF(AND(MONTH($T$14)&lt;&gt;MONTH($U$14),MONTH(X51)=MONTH($T$14)),$U$15,IF(AND(Y51&gt;0,DAY($R$14)&gt;1,MONTH($R$14)=MONTH($S$14)),30-Y51-DAY($R$14)+1,IF(AND(Y51&gt;0,DAY($R$14)&gt;1),30-Y51,0))))))))))</f>
        <v>0</v>
      </c>
      <c r="AA51" s="677">
        <f>(Y51*$R$16/30)+(Z51*$T$16/30)</f>
        <v>0</v>
      </c>
      <c r="AB51" s="678"/>
      <c r="AC51" s="156">
        <f>IF($M$6=TRUE,AA51*'NK_SHK, WHK u. TUT'!$B$10,IF($O$6=TRUE,AA51*'NK_SHK, WHK u. TUT'!$B$12,IF(AA51&gt;'NK_SHK, WHK u. TUT'!$G$11,IF($G$17="Akad. Tutor",AA51*'NK_SHK, WHK u. TUT'!$B$12,('NK_SHK, WHK u. TUT'!$B$25+'NK_SHK, WHK u. TUT'!$B$26*(AA51-'NK_SHK, WHK u. TUT'!$G$11))*'NK_SHK, WHK u. TUT'!$B$20-('NK_SHK, WHK u. TUT'!$B$27*(AA51-'NK_SHK, WHK u. TUT'!$G$11)*('NK_SHK, WHK u. TUT'!$B$20/2))),AA51*'NK_SHK, WHK u. TUT'!$B$10)))</f>
        <v>0</v>
      </c>
      <c r="AD51" s="156">
        <f>IF(AA51&gt;0,'NK_SHK, WHK u. TUT'!$B$4*$Q$6,0)</f>
        <v>0</v>
      </c>
      <c r="AE51" s="156">
        <f t="shared" si="7"/>
        <v>0</v>
      </c>
    </row>
    <row r="52" spans="2:31" ht="16.5" thickBot="1" x14ac:dyDescent="0.4">
      <c r="B52" s="300" t="s">
        <v>24</v>
      </c>
      <c r="C52" s="300"/>
      <c r="D52" s="300"/>
      <c r="E52" s="300"/>
      <c r="F52" s="301" t="e">
        <f>SUM(F40:F51)</f>
        <v>#N/A</v>
      </c>
      <c r="G52" s="302" t="e">
        <f>SUM(G40:G51)</f>
        <v>#N/A</v>
      </c>
      <c r="H52" s="302" t="e">
        <f>SUM(H40:H51)</f>
        <v>#N/A</v>
      </c>
      <c r="I52" s="302" t="e">
        <f>SUM(I40:I51)</f>
        <v>#N/A</v>
      </c>
      <c r="K52" s="679" t="s">
        <v>24</v>
      </c>
      <c r="L52" s="680"/>
      <c r="M52" s="162"/>
      <c r="N52" s="162"/>
      <c r="O52" s="162"/>
      <c r="P52" s="775">
        <f>SUM(P40:P51)</f>
        <v>0</v>
      </c>
      <c r="Q52" s="776"/>
      <c r="R52" s="163">
        <f>SUM(R40:R51)</f>
        <v>0</v>
      </c>
      <c r="S52" s="163">
        <f>SUM(S40:S51)</f>
        <v>0</v>
      </c>
      <c r="T52" s="163">
        <f>SUM(T40:T51)</f>
        <v>0</v>
      </c>
      <c r="V52" s="857" t="s">
        <v>24</v>
      </c>
      <c r="W52" s="858"/>
      <c r="X52" s="303"/>
      <c r="Y52" s="303"/>
      <c r="Z52" s="303"/>
      <c r="AA52" s="868">
        <f>SUM(AA40:AA51)</f>
        <v>0</v>
      </c>
      <c r="AB52" s="869"/>
      <c r="AC52" s="304">
        <f>SUM(AC40:AC51)</f>
        <v>0</v>
      </c>
      <c r="AD52" s="304">
        <f>SUM(AD40:AD51)</f>
        <v>0</v>
      </c>
      <c r="AE52" s="304">
        <f>SUM(AE40:AE51)</f>
        <v>0</v>
      </c>
    </row>
    <row r="53" spans="2:31" ht="16.5" hidden="1" outlineLevel="1" thickBot="1" x14ac:dyDescent="0.4">
      <c r="B53" s="169" t="s">
        <v>108</v>
      </c>
      <c r="F53" s="170">
        <f>IFERROR((SUM(F40:F51)/COUNTIFS(F40:F51,"&gt;0")),0)</f>
        <v>0</v>
      </c>
      <c r="G53" s="305">
        <f t="shared" ref="G53:I53" si="15">IFERROR((SUM(G40:G51)/COUNTIFS(G40:G51,"&gt;0")),0)</f>
        <v>0</v>
      </c>
      <c r="H53" s="305">
        <f t="shared" si="15"/>
        <v>0</v>
      </c>
      <c r="I53" s="305">
        <f t="shared" si="15"/>
        <v>0</v>
      </c>
      <c r="K53" s="853" t="s">
        <v>108</v>
      </c>
      <c r="L53" s="854" t="s">
        <v>108</v>
      </c>
      <c r="M53" s="248"/>
      <c r="N53" s="248"/>
      <c r="O53" s="248"/>
      <c r="P53" s="855">
        <f>IFERROR((SUM(P40:Q51)/COUNTIFS(P40:Q51,"&gt;0")),0)</f>
        <v>0</v>
      </c>
      <c r="Q53" s="856"/>
      <c r="R53" s="305">
        <f t="shared" ref="R53:T53" si="16">IFERROR((SUM(R40:R51)/COUNTIFS(R40:R51,"&gt;0")),0)</f>
        <v>0</v>
      </c>
      <c r="S53" s="305">
        <f t="shared" si="16"/>
        <v>0</v>
      </c>
      <c r="T53" s="305">
        <f t="shared" si="16"/>
        <v>0</v>
      </c>
      <c r="V53" s="853" t="s">
        <v>108</v>
      </c>
      <c r="W53" s="854" t="s">
        <v>108</v>
      </c>
      <c r="X53" s="248"/>
      <c r="Y53" s="248"/>
      <c r="Z53" s="248"/>
      <c r="AA53" s="855">
        <f>IFERROR((SUM(AA40:AB51)/COUNTIFS(AA40:AB51,"&gt;0")),0)</f>
        <v>0</v>
      </c>
      <c r="AB53" s="856"/>
      <c r="AC53" s="305">
        <f t="shared" ref="AC53:AE53" si="17">IFERROR((SUM(AC40:AC51)/COUNTIFS(AC40:AC51,"&gt;0")),0)</f>
        <v>0</v>
      </c>
      <c r="AD53" s="305">
        <f t="shared" si="17"/>
        <v>0</v>
      </c>
      <c r="AE53" s="305">
        <f t="shared" si="17"/>
        <v>0</v>
      </c>
    </row>
    <row r="54" spans="2:31" collapsed="1" x14ac:dyDescent="0.35"/>
    <row r="55" spans="2:31" ht="16.5" thickBot="1" x14ac:dyDescent="0.4"/>
    <row r="56" spans="2:31" ht="16.5" thickBot="1" x14ac:dyDescent="0.4">
      <c r="B56" s="179" t="s">
        <v>59</v>
      </c>
      <c r="F56" s="306">
        <f>G26+I26</f>
        <v>0</v>
      </c>
      <c r="K56" s="767" t="s">
        <v>59</v>
      </c>
      <c r="L56" s="849"/>
      <c r="P56" s="850">
        <f>K26+P26</f>
        <v>0</v>
      </c>
      <c r="Q56" s="851"/>
      <c r="V56" s="852" t="s">
        <v>59</v>
      </c>
      <c r="W56" s="701"/>
      <c r="AA56" s="864">
        <f>R26+T26</f>
        <v>0</v>
      </c>
      <c r="AB56" s="865"/>
    </row>
    <row r="57" spans="2:31" x14ac:dyDescent="0.35">
      <c r="B57" s="307">
        <f>V39+1</f>
        <v>1903</v>
      </c>
      <c r="C57" s="308" t="s">
        <v>31</v>
      </c>
      <c r="D57" s="308" t="s">
        <v>32</v>
      </c>
      <c r="E57" s="308" t="s">
        <v>33</v>
      </c>
      <c r="F57" s="308" t="s">
        <v>5</v>
      </c>
      <c r="G57" s="308" t="s">
        <v>8</v>
      </c>
      <c r="H57" s="308" t="s">
        <v>10</v>
      </c>
      <c r="I57" s="308" t="s">
        <v>11</v>
      </c>
      <c r="K57" s="825">
        <f>B57+1</f>
        <v>1904</v>
      </c>
      <c r="L57" s="826"/>
      <c r="M57" s="309" t="s">
        <v>31</v>
      </c>
      <c r="N57" s="309" t="s">
        <v>32</v>
      </c>
      <c r="O57" s="309" t="s">
        <v>33</v>
      </c>
      <c r="P57" s="827" t="s">
        <v>5</v>
      </c>
      <c r="Q57" s="828"/>
      <c r="R57" s="309" t="s">
        <v>8</v>
      </c>
      <c r="S57" s="309" t="s">
        <v>10</v>
      </c>
      <c r="T57" s="309" t="s">
        <v>11</v>
      </c>
      <c r="V57" s="829">
        <f>K57+1</f>
        <v>1905</v>
      </c>
      <c r="W57" s="830"/>
      <c r="X57" s="310" t="s">
        <v>31</v>
      </c>
      <c r="Y57" s="310" t="s">
        <v>32</v>
      </c>
      <c r="Z57" s="310" t="s">
        <v>33</v>
      </c>
      <c r="AA57" s="863" t="s">
        <v>5</v>
      </c>
      <c r="AB57" s="830"/>
      <c r="AC57" s="310" t="s">
        <v>8</v>
      </c>
      <c r="AD57" s="310" t="s">
        <v>10</v>
      </c>
      <c r="AE57" s="310" t="s">
        <v>11</v>
      </c>
    </row>
    <row r="58" spans="2:31" x14ac:dyDescent="0.35">
      <c r="B58" s="151" t="s">
        <v>12</v>
      </c>
      <c r="C58" s="152">
        <f>EOMONTH(CONCATENATE("01.","01.",$B$57),0)</f>
        <v>1127</v>
      </c>
      <c r="D58" s="153">
        <f t="shared" ref="D58:D69" si="18">IF($G$25="",0,IF(AND(DAY($G$25)&gt;1,MONTH(C58)=MONTH($G$25)),$H$26,IF(AND(C58&gt;=$G$25,C58&lt;=$H$25),30,IF((MONTH(C58)=MONTH($H$25)),DAY($H$25),0))))</f>
        <v>0</v>
      </c>
      <c r="E58" s="153">
        <f t="shared" ref="E58:E68" si="19">IF($I$25="",0,IF(C58&lt;$I$25,0,IF(AND(MONTH($I$25)=MONTH($J$25),MONTH(C58)=MONTH($J$25)),$J$26,(IF(D58&gt;0,30-D58,IF(AND(C58&gt;=$I$25,C58&lt;=$J$25),30,IF((MONTH(C58)=MONTH($J$25)),DAY($J$25)*IF(AND(MONTH($I$25)&lt;&gt;MONTH($J$25),MONTH(C58)=MONTH($I$25)),$J$26,IF(AND(D58&gt;0,DAY($G$25)&gt;1,MONTH($G$25)=MONTH($H$25)),30-D58-DAY($G$25)+1,IF(AND(D58&gt;0,DAY($G$25)&gt;1),30-D58,0))))))))))</f>
        <v>0</v>
      </c>
      <c r="F58" s="154">
        <f>(D58*$G$27/30)+(E58*$I$27/30)</f>
        <v>0</v>
      </c>
      <c r="G58" s="156">
        <f>IF($M$6=TRUE,F58*'NK_SHK, WHK u. TUT'!$B$10,IF($O$6=TRUE,F58*'NK_SHK, WHK u. TUT'!$B$12,IF(F58&gt;'NK_SHK, WHK u. TUT'!$G$11,IF($G$17="Akad. Tutor",F58*'NK_SHK, WHK u. TUT'!$B$12,('NK_SHK, WHK u. TUT'!$B$25+'NK_SHK, WHK u. TUT'!$B$26*(F58-'NK_SHK, WHK u. TUT'!$G$11))*'NK_SHK, WHK u. TUT'!$B$20-('NK_SHK, WHK u. TUT'!$B$27*(F58-'NK_SHK, WHK u. TUT'!$G$11)*('NK_SHK, WHK u. TUT'!$B$20/2))),F58*'NK_SHK, WHK u. TUT'!$B$10)))</f>
        <v>0</v>
      </c>
      <c r="H58" s="156">
        <f>IF(F58&gt;0,'NK_SHK, WHK u. TUT'!$B$4*$Q$6,0)</f>
        <v>0</v>
      </c>
      <c r="I58" s="156">
        <f>SUM(F58:H58)</f>
        <v>0</v>
      </c>
      <c r="K58" s="667" t="s">
        <v>12</v>
      </c>
      <c r="L58" s="668"/>
      <c r="M58" s="152">
        <f>EOMONTH(CONCATENATE("01.","01.",$K$57),0)</f>
        <v>1492</v>
      </c>
      <c r="N58" s="153">
        <f>IF($K$25="",0,IF(AND(DAY($K$25)&gt;1,MONTH(M58)=MONTH($K$25)),$L$26,IF(AND(M58&gt;=$K$25,M58&lt;=$L$25),30,IF((MONTH(M58)=MONTH($L$25)),DAY($L$25),0))))</f>
        <v>0</v>
      </c>
      <c r="O58" s="153">
        <f t="shared" ref="O58:O68" si="20">IF($P$25="",0,IF(M58&lt;$P$25,0,IF(AND(MONTH($P$25)=MONTH($Q$25),MONTH(M58)=MONTH($Q$25)),$Q$26,IF(AND(MONTH($P$25)&lt;&gt;MONTH($Q$25),MONTH(M58)=MONTH($P$25)),$Q$26,IF(AND(N58&gt;0,DAY($K$25)&gt;1,MONTH($K$25)=MONTH($L$25)),30-N58-DAY($K$25)+1,IF(AND(N58&gt;0,DAY($K$25)&gt;1),30-N58,(IF(N58&gt;0,30-N58,IF(AND(M58&gt;=$P$25,M58&lt;=$Q$25),30,IF((MONTH(M58)=MONTH($Q$25)),DAY($Q$25),0))))))))))</f>
        <v>0</v>
      </c>
      <c r="P58" s="677">
        <f>(N58*$K$27/30)+(O58*$P$27/30)</f>
        <v>0</v>
      </c>
      <c r="Q58" s="678"/>
      <c r="R58" s="156">
        <f>IF($M$6=TRUE,P58*'NK_SHK, WHK u. TUT'!$B$10,IF($O$6=TRUE,P58*'NK_SHK, WHK u. TUT'!$B$12,IF(P58&gt;'NK_SHK, WHK u. TUT'!$G$11,IF($G$17="Akad. Tutor",P58*'NK_SHK, WHK u. TUT'!$B$12,('NK_SHK, WHK u. TUT'!$B$25+'NK_SHK, WHK u. TUT'!$B$26*(P58-'NK_SHK, WHK u. TUT'!$G$11))*'NK_SHK, WHK u. TUT'!$B$20-('NK_SHK, WHK u. TUT'!$B$27*(P58-'NK_SHK, WHK u. TUT'!$G$11)*('NK_SHK, WHK u. TUT'!$B$20/2))),P58*'NK_SHK, WHK u. TUT'!$B$10)))</f>
        <v>0</v>
      </c>
      <c r="S58" s="156">
        <f>IF(P58&gt;0,'NK_SHK, WHK u. TUT'!$B$4*$Q$6,0)</f>
        <v>0</v>
      </c>
      <c r="T58" s="156">
        <f>SUM(P58:S58)</f>
        <v>0</v>
      </c>
      <c r="V58" s="667" t="s">
        <v>12</v>
      </c>
      <c r="W58" s="668"/>
      <c r="X58" s="152">
        <f>EOMONTH(CONCATENATE("01.","01.",$V$57),0)</f>
        <v>1858</v>
      </c>
      <c r="Y58" s="153">
        <f t="shared" ref="Y58" si="21">IF($R$25="",0,IF(AND(DAY($R$25)&gt;1,MONTH(X58)=MONTH($R$25)),$S$26,IF(AND(X58&gt;=$R$25,X58&lt;=$S$25),30,IF((MONTH(X58)=MONTH($S$25)),DAY($S$25),0))))</f>
        <v>0</v>
      </c>
      <c r="Z58" s="153">
        <f t="shared" ref="Z58:Z68" si="22">IF($T$25="",0,IF(X58&lt;$T$25,0,IF(AND(MONTH($T$25)=MONTH($U$25),MONTH(X58)=MONTH($U$25)),$U$26,(IF(Y58&gt;0,30-Y58,IF(AND(X58&gt;=$T$25,X58&lt;=$U$25),30,IF((MONTH(X58)=MONTH($U$25)),DAY($U$25),IF(AND(MONTH($T$25)&lt;&gt;MONTH($U$25),MONTH(X58)=MONTH($T$25)),$U$26,IF(AND(Y58&gt;0,DAY($R$25)&gt;1,MONTH($R$25)=MONTH($S$25)),30-Y58-DAY($R$25)+1,IF(AND(Y58&gt;0,DAY($R$25)&gt;1),30-Y58,0))))))))))</f>
        <v>0</v>
      </c>
      <c r="AA58" s="677">
        <f>(Y58*$R$27/30)+(Z58*$T$27/30)</f>
        <v>0</v>
      </c>
      <c r="AB58" s="678"/>
      <c r="AC58" s="156">
        <f>IF($M$6=TRUE,AA58*'NK_SHK, WHK u. TUT'!$B$10,IF($O$6=TRUE,AA58*'NK_SHK, WHK u. TUT'!$B$12,IF(AA58&gt;'NK_SHK, WHK u. TUT'!$G$11,IF($G$17="Akad. Tutor",AA58*'NK_SHK, WHK u. TUT'!$B$12,('NK_SHK, WHK u. TUT'!$B$25+'NK_SHK, WHK u. TUT'!$B$26*(AA58-'NK_SHK, WHK u. TUT'!$G$11))*'NK_SHK, WHK u. TUT'!$B$20-('NK_SHK, WHK u. TUT'!$B$27*(AA58-'NK_SHK, WHK u. TUT'!$G$11)*('NK_SHK, WHK u. TUT'!$B$20/2))),AA58*'NK_SHK, WHK u. TUT'!$B$10)))</f>
        <v>0</v>
      </c>
      <c r="AD58" s="156">
        <f>IF(AA58&gt;0,'NK_SHK, WHK u. TUT'!$B$4*$Q$6,0)</f>
        <v>0</v>
      </c>
      <c r="AE58" s="156">
        <f>SUM(AA58:AD58)</f>
        <v>0</v>
      </c>
    </row>
    <row r="59" spans="2:31" x14ac:dyDescent="0.35">
      <c r="B59" s="151" t="s">
        <v>13</v>
      </c>
      <c r="C59" s="152">
        <f>EOMONTH(CONCATENATE("01.","01.",$B$57),1)</f>
        <v>1155</v>
      </c>
      <c r="D59" s="153">
        <f t="shared" si="18"/>
        <v>0</v>
      </c>
      <c r="E59" s="153">
        <f t="shared" si="19"/>
        <v>0</v>
      </c>
      <c r="F59" s="154">
        <f t="shared" ref="F59:F69" si="23">(D59*$G$27/30)+(E59*$I$27/30)</f>
        <v>0</v>
      </c>
      <c r="G59" s="156">
        <f>IF($M$6=TRUE,F59*'NK_SHK, WHK u. TUT'!$B$10,IF($O$6=TRUE,F59*'NK_SHK, WHK u. TUT'!$B$12,IF(F59&gt;'NK_SHK, WHK u. TUT'!$G$11,IF($G$17="Akad. Tutor",F59*'NK_SHK, WHK u. TUT'!$B$12,('NK_SHK, WHK u. TUT'!$B$25+'NK_SHK, WHK u. TUT'!$B$26*(F59-'NK_SHK, WHK u. TUT'!$G$11))*'NK_SHK, WHK u. TUT'!$B$20-('NK_SHK, WHK u. TUT'!$B$27*(F59-'NK_SHK, WHK u. TUT'!$G$11)*('NK_SHK, WHK u. TUT'!$B$20/2))),F59*'NK_SHK, WHK u. TUT'!$B$10)))</f>
        <v>0</v>
      </c>
      <c r="H59" s="156">
        <f>IF(F59&gt;0,'NK_SHK, WHK u. TUT'!$B$4*$Q$6,0)</f>
        <v>0</v>
      </c>
      <c r="I59" s="156">
        <f t="shared" ref="I59:I69" si="24">SUM(F59:H59)</f>
        <v>0</v>
      </c>
      <c r="K59" s="667" t="s">
        <v>13</v>
      </c>
      <c r="L59" s="668"/>
      <c r="M59" s="152">
        <f>EOMONTH(CONCATENATE("01.","01.",$K$57),1)</f>
        <v>1521</v>
      </c>
      <c r="N59" s="153">
        <f t="shared" ref="N59:N69" si="25">IF($K$25="",0,IF(AND(DAY($K$25)&gt;1,MONTH(M59)=MONTH($K$25)),$L$26,IF(AND(M59&gt;=$K$25,M59&lt;=$L$25),30,IF((MONTH(M59)=MONTH($L$25)),DAY($L$25),0))))</f>
        <v>0</v>
      </c>
      <c r="O59" s="153">
        <f t="shared" si="20"/>
        <v>0</v>
      </c>
      <c r="P59" s="677">
        <f t="shared" ref="P59:P69" si="26">(N59*$K$27/30)+(O59*$P$27/30)</f>
        <v>0</v>
      </c>
      <c r="Q59" s="678"/>
      <c r="R59" s="156">
        <f>IF($M$6=TRUE,P59*'NK_SHK, WHK u. TUT'!$B$10,IF($O$6=TRUE,P59*'NK_SHK, WHK u. TUT'!$B$12,IF(P59&gt;'NK_SHK, WHK u. TUT'!$G$11,IF($G$17="Akad. Tutor",P59*'NK_SHK, WHK u. TUT'!$B$12,('NK_SHK, WHK u. TUT'!$B$25+'NK_SHK, WHK u. TUT'!$B$26*(P59-'NK_SHK, WHK u. TUT'!$G$11))*'NK_SHK, WHK u. TUT'!$B$20-('NK_SHK, WHK u. TUT'!$B$27*(P59-'NK_SHK, WHK u. TUT'!$G$11)*('NK_SHK, WHK u. TUT'!$B$20/2))),P59*'NK_SHK, WHK u. TUT'!$B$10)))</f>
        <v>0</v>
      </c>
      <c r="S59" s="156">
        <f>IF(P59&gt;0,'NK_SHK, WHK u. TUT'!$B$4*$Q$6,0)</f>
        <v>0</v>
      </c>
      <c r="T59" s="156">
        <f t="shared" ref="T59:T69" si="27">SUM(P59:S59)</f>
        <v>0</v>
      </c>
      <c r="V59" s="667" t="s">
        <v>13</v>
      </c>
      <c r="W59" s="668"/>
      <c r="X59" s="152">
        <f>EOMONTH(CONCATENATE("01.","01.",$V$57),1)</f>
        <v>1886</v>
      </c>
      <c r="Y59" s="153">
        <f t="shared" ref="Y59:Y69" si="28">IF($R$25="",0,IF(AND(DAY($R$25)&gt;1,MONTH(X59)=MONTH($R$25)),$S$26,IF(AND(X59&gt;=$R$25,X59&lt;=$S$25),30,IF((MONTH(X59)=MONTH($S$25)),DAY($S$25),0))))</f>
        <v>0</v>
      </c>
      <c r="Z59" s="153">
        <f t="shared" si="22"/>
        <v>0</v>
      </c>
      <c r="AA59" s="677">
        <f>(Y59*$R$27/30)+(Z59*$T$27/30)</f>
        <v>0</v>
      </c>
      <c r="AB59" s="678"/>
      <c r="AC59" s="156">
        <f>IF($M$6=TRUE,AA59*'NK_SHK, WHK u. TUT'!$B$10,IF($O$6=TRUE,AA59*'NK_SHK, WHK u. TUT'!$B$12,IF(AA59&gt;'NK_SHK, WHK u. TUT'!$G$11,IF($G$17="Akad. Tutor",AA59*'NK_SHK, WHK u. TUT'!$B$12,('NK_SHK, WHK u. TUT'!$B$25+'NK_SHK, WHK u. TUT'!$B$26*(AA59-'NK_SHK, WHK u. TUT'!$G$11))*'NK_SHK, WHK u. TUT'!$B$20-('NK_SHK, WHK u. TUT'!$B$27*(AA59-'NK_SHK, WHK u. TUT'!$G$11)*('NK_SHK, WHK u. TUT'!$B$20/2))),AA59*'NK_SHK, WHK u. TUT'!$B$10)))</f>
        <v>0</v>
      </c>
      <c r="AD59" s="156">
        <f>IF(AA59&gt;0,'NK_SHK, WHK u. TUT'!$B$4*$Q$6,0)</f>
        <v>0</v>
      </c>
      <c r="AE59" s="156">
        <f t="shared" ref="AE59:AE69" si="29">SUM(AA59:AD59)</f>
        <v>0</v>
      </c>
    </row>
    <row r="60" spans="2:31" x14ac:dyDescent="0.35">
      <c r="B60" s="151" t="s">
        <v>14</v>
      </c>
      <c r="C60" s="152">
        <f>EOMONTH(CONCATENATE("01.","01.",$B$57),2)</f>
        <v>1186</v>
      </c>
      <c r="D60" s="153">
        <f t="shared" si="18"/>
        <v>0</v>
      </c>
      <c r="E60" s="153">
        <f t="shared" si="19"/>
        <v>0</v>
      </c>
      <c r="F60" s="154">
        <f t="shared" si="23"/>
        <v>0</v>
      </c>
      <c r="G60" s="156">
        <f>IF($M$6=TRUE,F60*'NK_SHK, WHK u. TUT'!$B$10,IF($O$6=TRUE,F60*'NK_SHK, WHK u. TUT'!$B$12,IF(F60&gt;'NK_SHK, WHK u. TUT'!$G$11,IF($G$17="Akad. Tutor",F60*'NK_SHK, WHK u. TUT'!$B$12,('NK_SHK, WHK u. TUT'!$B$25+'NK_SHK, WHK u. TUT'!$B$26*(F60-'NK_SHK, WHK u. TUT'!$G$11))*'NK_SHK, WHK u. TUT'!$B$20-('NK_SHK, WHK u. TUT'!$B$27*(F60-'NK_SHK, WHK u. TUT'!$G$11)*('NK_SHK, WHK u. TUT'!$B$20/2))),F60*'NK_SHK, WHK u. TUT'!$B$10)))</f>
        <v>0</v>
      </c>
      <c r="H60" s="156">
        <f>IF(F60&gt;0,'NK_SHK, WHK u. TUT'!$B$4*$Q$6,0)</f>
        <v>0</v>
      </c>
      <c r="I60" s="156">
        <f t="shared" si="24"/>
        <v>0</v>
      </c>
      <c r="K60" s="667" t="s">
        <v>14</v>
      </c>
      <c r="L60" s="668"/>
      <c r="M60" s="152">
        <f>EOMONTH(CONCATENATE("01.","01.",$K$57),2)</f>
        <v>1552</v>
      </c>
      <c r="N60" s="153">
        <f t="shared" si="25"/>
        <v>0</v>
      </c>
      <c r="O60" s="153">
        <f t="shared" si="20"/>
        <v>0</v>
      </c>
      <c r="P60" s="677">
        <f t="shared" si="26"/>
        <v>0</v>
      </c>
      <c r="Q60" s="678"/>
      <c r="R60" s="156">
        <f>IF($M$6=TRUE,P60*'NK_SHK, WHK u. TUT'!$B$10,IF($O$6=TRUE,P60*'NK_SHK, WHK u. TUT'!$B$12,IF(P60&gt;'NK_SHK, WHK u. TUT'!$G$11,IF($G$17="Akad. Tutor",P60*'NK_SHK, WHK u. TUT'!$B$12,('NK_SHK, WHK u. TUT'!$B$25+'NK_SHK, WHK u. TUT'!$B$26*(P60-'NK_SHK, WHK u. TUT'!$G$11))*'NK_SHK, WHK u. TUT'!$B$20-('NK_SHK, WHK u. TUT'!$B$27*(P60-'NK_SHK, WHK u. TUT'!$G$11)*('NK_SHK, WHK u. TUT'!$B$20/2))),P60*'NK_SHK, WHK u. TUT'!$B$10)))</f>
        <v>0</v>
      </c>
      <c r="S60" s="156">
        <f>IF(P60&gt;0,'NK_SHK, WHK u. TUT'!$B$4*$Q$6,0)</f>
        <v>0</v>
      </c>
      <c r="T60" s="156">
        <f t="shared" si="27"/>
        <v>0</v>
      </c>
      <c r="V60" s="667" t="s">
        <v>14</v>
      </c>
      <c r="W60" s="668"/>
      <c r="X60" s="152">
        <f>EOMONTH(CONCATENATE("01.","01.",$V$57),2)</f>
        <v>1917</v>
      </c>
      <c r="Y60" s="153">
        <f t="shared" si="28"/>
        <v>0</v>
      </c>
      <c r="Z60" s="153">
        <f t="shared" si="22"/>
        <v>0</v>
      </c>
      <c r="AA60" s="677">
        <f>(Y60*$R$27/30)+(Z60*$T$27/30)</f>
        <v>0</v>
      </c>
      <c r="AB60" s="678"/>
      <c r="AC60" s="156">
        <f>IF($M$6=TRUE,AA60*'NK_SHK, WHK u. TUT'!$B$10,IF($O$6=TRUE,AA60*'NK_SHK, WHK u. TUT'!$B$12,IF(AA60&gt;'NK_SHK, WHK u. TUT'!$G$11,IF($G$17="Akad. Tutor",AA60*'NK_SHK, WHK u. TUT'!$B$12,('NK_SHK, WHK u. TUT'!$B$25+'NK_SHK, WHK u. TUT'!$B$26*(AA60-'NK_SHK, WHK u. TUT'!$G$11))*'NK_SHK, WHK u. TUT'!$B$20-('NK_SHK, WHK u. TUT'!$B$27*(AA60-'NK_SHK, WHK u. TUT'!$G$11)*('NK_SHK, WHK u. TUT'!$B$20/2))),AA60*'NK_SHK, WHK u. TUT'!$B$10)))</f>
        <v>0</v>
      </c>
      <c r="AD60" s="156">
        <f>IF(AA60&gt;0,'NK_SHK, WHK u. TUT'!$B$4*$Q$6,0)</f>
        <v>0</v>
      </c>
      <c r="AE60" s="156">
        <f t="shared" si="29"/>
        <v>0</v>
      </c>
    </row>
    <row r="61" spans="2:31" x14ac:dyDescent="0.35">
      <c r="B61" s="151" t="s">
        <v>15</v>
      </c>
      <c r="C61" s="152">
        <f>EOMONTH(CONCATENATE("01.","01.",$B$57),3)</f>
        <v>1216</v>
      </c>
      <c r="D61" s="153">
        <f t="shared" si="18"/>
        <v>0</v>
      </c>
      <c r="E61" s="153">
        <f t="shared" si="19"/>
        <v>0</v>
      </c>
      <c r="F61" s="154">
        <f t="shared" si="23"/>
        <v>0</v>
      </c>
      <c r="G61" s="156">
        <f>IF($M$6=TRUE,F61*'NK_SHK, WHK u. TUT'!$B$10,IF($O$6=TRUE,F61*'NK_SHK, WHK u. TUT'!$B$12,IF(F61&gt;'NK_SHK, WHK u. TUT'!$G$11,IF($G$17="Akad. Tutor",F61*'NK_SHK, WHK u. TUT'!$B$12,('NK_SHK, WHK u. TUT'!$B$25+'NK_SHK, WHK u. TUT'!$B$26*(F61-'NK_SHK, WHK u. TUT'!$G$11))*'NK_SHK, WHK u. TUT'!$B$20-('NK_SHK, WHK u. TUT'!$B$27*(F61-'NK_SHK, WHK u. TUT'!$G$11)*('NK_SHK, WHK u. TUT'!$B$20/2))),F61*'NK_SHK, WHK u. TUT'!$B$10)))</f>
        <v>0</v>
      </c>
      <c r="H61" s="156">
        <f>IF(F61&gt;0,'NK_SHK, WHK u. TUT'!$B$4*$Q$6,0)</f>
        <v>0</v>
      </c>
      <c r="I61" s="156">
        <f t="shared" si="24"/>
        <v>0</v>
      </c>
      <c r="K61" s="667" t="s">
        <v>15</v>
      </c>
      <c r="L61" s="668"/>
      <c r="M61" s="152">
        <f>EOMONTH(CONCATENATE("01.","01.",$K$57),3)</f>
        <v>1582</v>
      </c>
      <c r="N61" s="153">
        <f t="shared" si="25"/>
        <v>0</v>
      </c>
      <c r="O61" s="153">
        <f t="shared" si="20"/>
        <v>0</v>
      </c>
      <c r="P61" s="677">
        <f t="shared" si="26"/>
        <v>0</v>
      </c>
      <c r="Q61" s="678"/>
      <c r="R61" s="156">
        <f>IF($M$6=TRUE,P61*'NK_SHK, WHK u. TUT'!$B$10,IF($O$6=TRUE,P61*'NK_SHK, WHK u. TUT'!$B$12,IF(P61&gt;'NK_SHK, WHK u. TUT'!$G$11,IF($G$17="Akad. Tutor",P61*'NK_SHK, WHK u. TUT'!$B$12,('NK_SHK, WHK u. TUT'!$B$25+'NK_SHK, WHK u. TUT'!$B$26*(P61-'NK_SHK, WHK u. TUT'!$G$11))*'NK_SHK, WHK u. TUT'!$B$20-('NK_SHK, WHK u. TUT'!$B$27*(P61-'NK_SHK, WHK u. TUT'!$G$11)*('NK_SHK, WHK u. TUT'!$B$20/2))),P61*'NK_SHK, WHK u. TUT'!$B$10)))</f>
        <v>0</v>
      </c>
      <c r="S61" s="156">
        <f>IF(P61&gt;0,'NK_SHK, WHK u. TUT'!$B$4*$Q$6,0)</f>
        <v>0</v>
      </c>
      <c r="T61" s="156">
        <f t="shared" si="27"/>
        <v>0</v>
      </c>
      <c r="V61" s="667" t="s">
        <v>15</v>
      </c>
      <c r="W61" s="668"/>
      <c r="X61" s="152">
        <f>EOMONTH(CONCATENATE("01.","01.",$V$57),3)</f>
        <v>1947</v>
      </c>
      <c r="Y61" s="153">
        <f t="shared" si="28"/>
        <v>0</v>
      </c>
      <c r="Z61" s="153">
        <f t="shared" si="22"/>
        <v>0</v>
      </c>
      <c r="AA61" s="677">
        <f t="shared" ref="AA61:AA69" si="30">(Y61*$R$27/30)+(Z61*$T$27/30)</f>
        <v>0</v>
      </c>
      <c r="AB61" s="678"/>
      <c r="AC61" s="156">
        <f>IF($M$6=TRUE,AA61*'NK_SHK, WHK u. TUT'!$B$10,IF($O$6=TRUE,AA61*'NK_SHK, WHK u. TUT'!$B$12,IF(AA61&gt;'NK_SHK, WHK u. TUT'!$G$11,IF($G$17="Akad. Tutor",AA61*'NK_SHK, WHK u. TUT'!$B$12,('NK_SHK, WHK u. TUT'!$B$25+'NK_SHK, WHK u. TUT'!$B$26*(AA61-'NK_SHK, WHK u. TUT'!$G$11))*'NK_SHK, WHK u. TUT'!$B$20-('NK_SHK, WHK u. TUT'!$B$27*(AA61-'NK_SHK, WHK u. TUT'!$G$11)*('NK_SHK, WHK u. TUT'!$B$20/2))),AA61*'NK_SHK, WHK u. TUT'!$B$10)))</f>
        <v>0</v>
      </c>
      <c r="AD61" s="156">
        <f>IF(AA61&gt;0,'NK_SHK, WHK u. TUT'!$B$4*$Q$6,0)</f>
        <v>0</v>
      </c>
      <c r="AE61" s="156">
        <f t="shared" si="29"/>
        <v>0</v>
      </c>
    </row>
    <row r="62" spans="2:31" x14ac:dyDescent="0.35">
      <c r="B62" s="151" t="s">
        <v>16</v>
      </c>
      <c r="C62" s="152">
        <f>EOMONTH(CONCATENATE("01.","01.",$B$57),4)</f>
        <v>1247</v>
      </c>
      <c r="D62" s="153">
        <f t="shared" si="18"/>
        <v>0</v>
      </c>
      <c r="E62" s="153">
        <f t="shared" si="19"/>
        <v>0</v>
      </c>
      <c r="F62" s="154">
        <f t="shared" si="23"/>
        <v>0</v>
      </c>
      <c r="G62" s="156">
        <f>IF($M$6=TRUE,F62*'NK_SHK, WHK u. TUT'!$B$10,IF($O$6=TRUE,F62*'NK_SHK, WHK u. TUT'!$B$12,IF(F62&gt;'NK_SHK, WHK u. TUT'!$G$11,IF($G$17="Akad. Tutor",F62*'NK_SHK, WHK u. TUT'!$B$12,('NK_SHK, WHK u. TUT'!$B$25+'NK_SHK, WHK u. TUT'!$B$26*(F62-'NK_SHK, WHK u. TUT'!$G$11))*'NK_SHK, WHK u. TUT'!$B$20-('NK_SHK, WHK u. TUT'!$B$27*(F62-'NK_SHK, WHK u. TUT'!$G$11)*('NK_SHK, WHK u. TUT'!$B$20/2))),F62*'NK_SHK, WHK u. TUT'!$B$10)))</f>
        <v>0</v>
      </c>
      <c r="H62" s="156">
        <f>IF(F62&gt;0,'NK_SHK, WHK u. TUT'!$B$4*$Q$6,0)</f>
        <v>0</v>
      </c>
      <c r="I62" s="156">
        <f t="shared" si="24"/>
        <v>0</v>
      </c>
      <c r="K62" s="667" t="s">
        <v>16</v>
      </c>
      <c r="L62" s="668"/>
      <c r="M62" s="152">
        <f>EOMONTH(CONCATENATE("01.","01.",$K$57),4)</f>
        <v>1613</v>
      </c>
      <c r="N62" s="153">
        <f t="shared" si="25"/>
        <v>0</v>
      </c>
      <c r="O62" s="153">
        <f t="shared" si="20"/>
        <v>0</v>
      </c>
      <c r="P62" s="677">
        <f t="shared" si="26"/>
        <v>0</v>
      </c>
      <c r="Q62" s="678"/>
      <c r="R62" s="156">
        <f>IF($M$6=TRUE,P62*'NK_SHK, WHK u. TUT'!$B$10,IF($O$6=TRUE,P62*'NK_SHK, WHK u. TUT'!$B$12,IF(P62&gt;'NK_SHK, WHK u. TUT'!$G$11,IF($G$17="Akad. Tutor",P62*'NK_SHK, WHK u. TUT'!$B$12,('NK_SHK, WHK u. TUT'!$B$25+'NK_SHK, WHK u. TUT'!$B$26*(P62-'NK_SHK, WHK u. TUT'!$G$11))*'NK_SHK, WHK u. TUT'!$B$20-('NK_SHK, WHK u. TUT'!$B$27*(P62-'NK_SHK, WHK u. TUT'!$G$11)*('NK_SHK, WHK u. TUT'!$B$20/2))),P62*'NK_SHK, WHK u. TUT'!$B$10)))</f>
        <v>0</v>
      </c>
      <c r="S62" s="156">
        <f>IF(P62&gt;0,'NK_SHK, WHK u. TUT'!$B$4*$Q$6,0)</f>
        <v>0</v>
      </c>
      <c r="T62" s="156">
        <f t="shared" si="27"/>
        <v>0</v>
      </c>
      <c r="V62" s="667" t="s">
        <v>16</v>
      </c>
      <c r="W62" s="668"/>
      <c r="X62" s="152">
        <f>EOMONTH(CONCATENATE("01.","01.",$V$57),4)</f>
        <v>1978</v>
      </c>
      <c r="Y62" s="153">
        <f t="shared" si="28"/>
        <v>0</v>
      </c>
      <c r="Z62" s="153">
        <f t="shared" si="22"/>
        <v>0</v>
      </c>
      <c r="AA62" s="677">
        <f t="shared" si="30"/>
        <v>0</v>
      </c>
      <c r="AB62" s="678"/>
      <c r="AC62" s="156">
        <f>IF($M$6=TRUE,AA62*'NK_SHK, WHK u. TUT'!$B$10,IF($O$6=TRUE,AA62*'NK_SHK, WHK u. TUT'!$B$12,IF(AA62&gt;'NK_SHK, WHK u. TUT'!$G$11,IF($G$17="Akad. Tutor",AA62*'NK_SHK, WHK u. TUT'!$B$12,('NK_SHK, WHK u. TUT'!$B$25+'NK_SHK, WHK u. TUT'!$B$26*(AA62-'NK_SHK, WHK u. TUT'!$G$11))*'NK_SHK, WHK u. TUT'!$B$20-('NK_SHK, WHK u. TUT'!$B$27*(AA62-'NK_SHK, WHK u. TUT'!$G$11)*('NK_SHK, WHK u. TUT'!$B$20/2))),AA62*'NK_SHK, WHK u. TUT'!$B$10)))</f>
        <v>0</v>
      </c>
      <c r="AD62" s="156">
        <f>IF(AA62&gt;0,'NK_SHK, WHK u. TUT'!$B$4*$Q$6,0)</f>
        <v>0</v>
      </c>
      <c r="AE62" s="156">
        <f t="shared" si="29"/>
        <v>0</v>
      </c>
    </row>
    <row r="63" spans="2:31" x14ac:dyDescent="0.35">
      <c r="B63" s="151" t="s">
        <v>17</v>
      </c>
      <c r="C63" s="152">
        <f>EOMONTH(CONCATENATE("01.","01.",$B$57),5)</f>
        <v>1277</v>
      </c>
      <c r="D63" s="153">
        <f t="shared" si="18"/>
        <v>0</v>
      </c>
      <c r="E63" s="153">
        <f t="shared" si="19"/>
        <v>0</v>
      </c>
      <c r="F63" s="154">
        <f t="shared" si="23"/>
        <v>0</v>
      </c>
      <c r="G63" s="156">
        <f>IF($M$6=TRUE,F63*'NK_SHK, WHK u. TUT'!$B$10,IF($O$6=TRUE,F63*'NK_SHK, WHK u. TUT'!$B$12,IF(F63&gt;'NK_SHK, WHK u. TUT'!$G$11,IF($G$17="Akad. Tutor",F63*'NK_SHK, WHK u. TUT'!$B$12,('NK_SHK, WHK u. TUT'!$B$25+'NK_SHK, WHK u. TUT'!$B$26*(F63-'NK_SHK, WHK u. TUT'!$G$11))*'NK_SHK, WHK u. TUT'!$B$20-('NK_SHK, WHK u. TUT'!$B$27*(F63-'NK_SHK, WHK u. TUT'!$G$11)*('NK_SHK, WHK u. TUT'!$B$20/2))),F63*'NK_SHK, WHK u. TUT'!$B$10)))</f>
        <v>0</v>
      </c>
      <c r="H63" s="156">
        <f>IF(F63&gt;0,'NK_SHK, WHK u. TUT'!$B$4*$Q$6,0)</f>
        <v>0</v>
      </c>
      <c r="I63" s="156">
        <f t="shared" si="24"/>
        <v>0</v>
      </c>
      <c r="K63" s="667" t="s">
        <v>17</v>
      </c>
      <c r="L63" s="668"/>
      <c r="M63" s="152">
        <f>EOMONTH(CONCATENATE("01.","01.",$K$57),5)</f>
        <v>1643</v>
      </c>
      <c r="N63" s="153">
        <f t="shared" si="25"/>
        <v>0</v>
      </c>
      <c r="O63" s="153">
        <f t="shared" si="20"/>
        <v>0</v>
      </c>
      <c r="P63" s="677">
        <f t="shared" si="26"/>
        <v>0</v>
      </c>
      <c r="Q63" s="678"/>
      <c r="R63" s="156">
        <f>IF($M$6=TRUE,P63*'NK_SHK, WHK u. TUT'!$B$10,IF($O$6=TRUE,P63*'NK_SHK, WHK u. TUT'!$B$12,IF(P63&gt;'NK_SHK, WHK u. TUT'!$G$11,IF($G$17="Akad. Tutor",P63*'NK_SHK, WHK u. TUT'!$B$12,('NK_SHK, WHK u. TUT'!$B$25+'NK_SHK, WHK u. TUT'!$B$26*(P63-'NK_SHK, WHK u. TUT'!$G$11))*'NK_SHK, WHK u. TUT'!$B$20-('NK_SHK, WHK u. TUT'!$B$27*(P63-'NK_SHK, WHK u. TUT'!$G$11)*('NK_SHK, WHK u. TUT'!$B$20/2))),P63*'NK_SHK, WHK u. TUT'!$B$10)))</f>
        <v>0</v>
      </c>
      <c r="S63" s="156">
        <f>IF(P63&gt;0,'NK_SHK, WHK u. TUT'!$B$4*$Q$6,0)</f>
        <v>0</v>
      </c>
      <c r="T63" s="156">
        <f t="shared" si="27"/>
        <v>0</v>
      </c>
      <c r="V63" s="667" t="s">
        <v>17</v>
      </c>
      <c r="W63" s="668"/>
      <c r="X63" s="152">
        <f>EOMONTH(CONCATENATE("01.","01.",$V$57),5)</f>
        <v>2008</v>
      </c>
      <c r="Y63" s="153">
        <f t="shared" si="28"/>
        <v>0</v>
      </c>
      <c r="Z63" s="153">
        <f t="shared" si="22"/>
        <v>0</v>
      </c>
      <c r="AA63" s="677">
        <f t="shared" si="30"/>
        <v>0</v>
      </c>
      <c r="AB63" s="678"/>
      <c r="AC63" s="156">
        <f>IF($M$6=TRUE,AA63*'NK_SHK, WHK u. TUT'!$B$10,IF($O$6=TRUE,AA63*'NK_SHK, WHK u. TUT'!$B$12,IF(AA63&gt;'NK_SHK, WHK u. TUT'!$G$11,IF($G$17="Akad. Tutor",AA63*'NK_SHK, WHK u. TUT'!$B$12,('NK_SHK, WHK u. TUT'!$B$25+'NK_SHK, WHK u. TUT'!$B$26*(AA63-'NK_SHK, WHK u. TUT'!$G$11))*'NK_SHK, WHK u. TUT'!$B$20-('NK_SHK, WHK u. TUT'!$B$27*(AA63-'NK_SHK, WHK u. TUT'!$G$11)*('NK_SHK, WHK u. TUT'!$B$20/2))),AA63*'NK_SHK, WHK u. TUT'!$B$10)))</f>
        <v>0</v>
      </c>
      <c r="AD63" s="156">
        <f>IF(AA63&gt;0,'NK_SHK, WHK u. TUT'!$B$4*$Q$6,0)</f>
        <v>0</v>
      </c>
      <c r="AE63" s="156">
        <f t="shared" si="29"/>
        <v>0</v>
      </c>
    </row>
    <row r="64" spans="2:31" x14ac:dyDescent="0.35">
      <c r="B64" s="151" t="s">
        <v>18</v>
      </c>
      <c r="C64" s="152">
        <f>EOMONTH(CONCATENATE("01.","01.",$B$57),6)</f>
        <v>1308</v>
      </c>
      <c r="D64" s="153">
        <f t="shared" si="18"/>
        <v>0</v>
      </c>
      <c r="E64" s="153">
        <f t="shared" si="19"/>
        <v>0</v>
      </c>
      <c r="F64" s="154">
        <f t="shared" si="23"/>
        <v>0</v>
      </c>
      <c r="G64" s="156">
        <f>IF($M$6=TRUE,F64*'NK_SHK, WHK u. TUT'!$B$10,IF($O$6=TRUE,F64*'NK_SHK, WHK u. TUT'!$B$12,IF(F64&gt;'NK_SHK, WHK u. TUT'!$G$11,IF($G$17="Akad. Tutor",F64*'NK_SHK, WHK u. TUT'!$B$12,('NK_SHK, WHK u. TUT'!$B$25+'NK_SHK, WHK u. TUT'!$B$26*(F64-'NK_SHK, WHK u. TUT'!$G$11))*'NK_SHK, WHK u. TUT'!$B$20-('NK_SHK, WHK u. TUT'!$B$27*(F64-'NK_SHK, WHK u. TUT'!$G$11)*('NK_SHK, WHK u. TUT'!$B$20/2))),F64*'NK_SHK, WHK u. TUT'!$B$10)))</f>
        <v>0</v>
      </c>
      <c r="H64" s="156">
        <f>IF(F64&gt;0,'NK_SHK, WHK u. TUT'!$B$4*$Q$6,0)</f>
        <v>0</v>
      </c>
      <c r="I64" s="156">
        <f t="shared" si="24"/>
        <v>0</v>
      </c>
      <c r="K64" s="667" t="s">
        <v>18</v>
      </c>
      <c r="L64" s="668"/>
      <c r="M64" s="152">
        <f>EOMONTH(CONCATENATE("01.","01.",$K$57),6)</f>
        <v>1674</v>
      </c>
      <c r="N64" s="153">
        <f t="shared" si="25"/>
        <v>0</v>
      </c>
      <c r="O64" s="153">
        <f t="shared" si="20"/>
        <v>0</v>
      </c>
      <c r="P64" s="677">
        <f t="shared" si="26"/>
        <v>0</v>
      </c>
      <c r="Q64" s="678"/>
      <c r="R64" s="156">
        <f>IF($M$6=TRUE,P64*'NK_SHK, WHK u. TUT'!$B$10,IF($O$6=TRUE,P64*'NK_SHK, WHK u. TUT'!$B$12,IF(P64&gt;'NK_SHK, WHK u. TUT'!$G$11,IF($G$17="Akad. Tutor",P64*'NK_SHK, WHK u. TUT'!$B$12,('NK_SHK, WHK u. TUT'!$B$25+'NK_SHK, WHK u. TUT'!$B$26*(P64-'NK_SHK, WHK u. TUT'!$G$11))*'NK_SHK, WHK u. TUT'!$B$20-('NK_SHK, WHK u. TUT'!$B$27*(P64-'NK_SHK, WHK u. TUT'!$G$11)*('NK_SHK, WHK u. TUT'!$B$20/2))),P64*'NK_SHK, WHK u. TUT'!$B$10)))</f>
        <v>0</v>
      </c>
      <c r="S64" s="156">
        <f>IF(P64&gt;0,'NK_SHK, WHK u. TUT'!$B$4*$Q$6,0)</f>
        <v>0</v>
      </c>
      <c r="T64" s="156">
        <f t="shared" si="27"/>
        <v>0</v>
      </c>
      <c r="V64" s="667" t="s">
        <v>18</v>
      </c>
      <c r="W64" s="668"/>
      <c r="X64" s="152">
        <f>EOMONTH(CONCATENATE("01.","01.",$V$57),6)</f>
        <v>2039</v>
      </c>
      <c r="Y64" s="153">
        <f t="shared" si="28"/>
        <v>0</v>
      </c>
      <c r="Z64" s="153">
        <f t="shared" si="22"/>
        <v>0</v>
      </c>
      <c r="AA64" s="677">
        <f t="shared" si="30"/>
        <v>0</v>
      </c>
      <c r="AB64" s="678"/>
      <c r="AC64" s="156">
        <f>IF($M$6=TRUE,AA64*'NK_SHK, WHK u. TUT'!$B$10,IF($O$6=TRUE,AA64*'NK_SHK, WHK u. TUT'!$B$12,IF(AA64&gt;'NK_SHK, WHK u. TUT'!$G$11,IF($G$17="Akad. Tutor",AA64*'NK_SHK, WHK u. TUT'!$B$12,('NK_SHK, WHK u. TUT'!$B$25+'NK_SHK, WHK u. TUT'!$B$26*(AA64-'NK_SHK, WHK u. TUT'!$G$11))*'NK_SHK, WHK u. TUT'!$B$20-('NK_SHK, WHK u. TUT'!$B$27*(AA64-'NK_SHK, WHK u. TUT'!$G$11)*('NK_SHK, WHK u. TUT'!$B$20/2))),AA64*'NK_SHK, WHK u. TUT'!$B$10)))</f>
        <v>0</v>
      </c>
      <c r="AD64" s="156">
        <f>IF(AA64&gt;0,'NK_SHK, WHK u. TUT'!$B$4*$Q$6,0)</f>
        <v>0</v>
      </c>
      <c r="AE64" s="156">
        <f t="shared" si="29"/>
        <v>0</v>
      </c>
    </row>
    <row r="65" spans="2:31" x14ac:dyDescent="0.35">
      <c r="B65" s="151" t="s">
        <v>19</v>
      </c>
      <c r="C65" s="152">
        <f>EOMONTH(CONCATENATE("01.","01.",$B$57),7)</f>
        <v>1339</v>
      </c>
      <c r="D65" s="153">
        <f t="shared" si="18"/>
        <v>0</v>
      </c>
      <c r="E65" s="153">
        <f t="shared" si="19"/>
        <v>0</v>
      </c>
      <c r="F65" s="154">
        <f t="shared" si="23"/>
        <v>0</v>
      </c>
      <c r="G65" s="156">
        <f>IF($M$6=TRUE,F65*'NK_SHK, WHK u. TUT'!$B$10,IF($O$6=TRUE,F65*'NK_SHK, WHK u. TUT'!$B$12,IF(F65&gt;'NK_SHK, WHK u. TUT'!$G$11,IF($G$17="Akad. Tutor",F65*'NK_SHK, WHK u. TUT'!$B$12,('NK_SHK, WHK u. TUT'!$B$25+'NK_SHK, WHK u. TUT'!$B$26*(F65-'NK_SHK, WHK u. TUT'!$G$11))*'NK_SHK, WHK u. TUT'!$B$20-('NK_SHK, WHK u. TUT'!$B$27*(F65-'NK_SHK, WHK u. TUT'!$G$11)*('NK_SHK, WHK u. TUT'!$B$20/2))),F65*'NK_SHK, WHK u. TUT'!$B$10)))</f>
        <v>0</v>
      </c>
      <c r="H65" s="156">
        <f>IF(F65&gt;0,'NK_SHK, WHK u. TUT'!$B$4*$Q$6,0)</f>
        <v>0</v>
      </c>
      <c r="I65" s="156">
        <f t="shared" si="24"/>
        <v>0</v>
      </c>
      <c r="K65" s="667" t="s">
        <v>19</v>
      </c>
      <c r="L65" s="668"/>
      <c r="M65" s="152">
        <f>EOMONTH(CONCATENATE("01.","01.",$K$57),7)</f>
        <v>1705</v>
      </c>
      <c r="N65" s="153">
        <f t="shared" si="25"/>
        <v>0</v>
      </c>
      <c r="O65" s="153">
        <f t="shared" si="20"/>
        <v>0</v>
      </c>
      <c r="P65" s="677">
        <f t="shared" si="26"/>
        <v>0</v>
      </c>
      <c r="Q65" s="678"/>
      <c r="R65" s="156">
        <f>IF($M$6=TRUE,P65*'NK_SHK, WHK u. TUT'!$B$10,IF($O$6=TRUE,P65*'NK_SHK, WHK u. TUT'!$B$12,IF(P65&gt;'NK_SHK, WHK u. TUT'!$G$11,IF($G$17="Akad. Tutor",P65*'NK_SHK, WHK u. TUT'!$B$12,('NK_SHK, WHK u. TUT'!$B$25+'NK_SHK, WHK u. TUT'!$B$26*(P65-'NK_SHK, WHK u. TUT'!$G$11))*'NK_SHK, WHK u. TUT'!$B$20-('NK_SHK, WHK u. TUT'!$B$27*(P65-'NK_SHK, WHK u. TUT'!$G$11)*('NK_SHK, WHK u. TUT'!$B$20/2))),P65*'NK_SHK, WHK u. TUT'!$B$10)))</f>
        <v>0</v>
      </c>
      <c r="S65" s="156">
        <f>IF(P65&gt;0,'NK_SHK, WHK u. TUT'!$B$4*$Q$6,0)</f>
        <v>0</v>
      </c>
      <c r="T65" s="156">
        <f t="shared" si="27"/>
        <v>0</v>
      </c>
      <c r="V65" s="667" t="s">
        <v>19</v>
      </c>
      <c r="W65" s="668"/>
      <c r="X65" s="152">
        <f>EOMONTH(CONCATENATE("01.","01.",$V$57),7)</f>
        <v>2070</v>
      </c>
      <c r="Y65" s="153">
        <f t="shared" si="28"/>
        <v>0</v>
      </c>
      <c r="Z65" s="153">
        <f t="shared" si="22"/>
        <v>0</v>
      </c>
      <c r="AA65" s="677">
        <f t="shared" si="30"/>
        <v>0</v>
      </c>
      <c r="AB65" s="678"/>
      <c r="AC65" s="156">
        <f>IF($M$6=TRUE,AA65*'NK_SHK, WHK u. TUT'!$B$10,IF($O$6=TRUE,AA65*'NK_SHK, WHK u. TUT'!$B$12,IF(AA65&gt;'NK_SHK, WHK u. TUT'!$G$11,IF($G$17="Akad. Tutor",AA65*'NK_SHK, WHK u. TUT'!$B$12,('NK_SHK, WHK u. TUT'!$B$25+'NK_SHK, WHK u. TUT'!$B$26*(AA65-'NK_SHK, WHK u. TUT'!$G$11))*'NK_SHK, WHK u. TUT'!$B$20-('NK_SHK, WHK u. TUT'!$B$27*(AA65-'NK_SHK, WHK u. TUT'!$G$11)*('NK_SHK, WHK u. TUT'!$B$20/2))),AA65*'NK_SHK, WHK u. TUT'!$B$10)))</f>
        <v>0</v>
      </c>
      <c r="AD65" s="156">
        <f>IF(AA65&gt;0,'NK_SHK, WHK u. TUT'!$B$4*$Q$6,0)</f>
        <v>0</v>
      </c>
      <c r="AE65" s="156">
        <f t="shared" si="29"/>
        <v>0</v>
      </c>
    </row>
    <row r="66" spans="2:31" x14ac:dyDescent="0.35">
      <c r="B66" s="151" t="s">
        <v>20</v>
      </c>
      <c r="C66" s="152">
        <f>EOMONTH(CONCATENATE("01.","01.",$B$57),8)</f>
        <v>1369</v>
      </c>
      <c r="D66" s="153">
        <f t="shared" si="18"/>
        <v>0</v>
      </c>
      <c r="E66" s="153">
        <f t="shared" si="19"/>
        <v>0</v>
      </c>
      <c r="F66" s="154">
        <f t="shared" si="23"/>
        <v>0</v>
      </c>
      <c r="G66" s="156">
        <f>IF($M$6=TRUE,F66*'NK_SHK, WHK u. TUT'!$B$10,IF($O$6=TRUE,F66*'NK_SHK, WHK u. TUT'!$B$12,IF(F66&gt;'NK_SHK, WHK u. TUT'!$G$11,IF($G$17="Akad. Tutor",F66*'NK_SHK, WHK u. TUT'!$B$12,('NK_SHK, WHK u. TUT'!$B$25+'NK_SHK, WHK u. TUT'!$B$26*(F66-'NK_SHK, WHK u. TUT'!$G$11))*'NK_SHK, WHK u. TUT'!$B$20-('NK_SHK, WHK u. TUT'!$B$27*(F66-'NK_SHK, WHK u. TUT'!$G$11)*('NK_SHK, WHK u. TUT'!$B$20/2))),F66*'NK_SHK, WHK u. TUT'!$B$10)))</f>
        <v>0</v>
      </c>
      <c r="H66" s="156">
        <f>IF(F66&gt;0,'NK_SHK, WHK u. TUT'!$B$4*$Q$6,0)</f>
        <v>0</v>
      </c>
      <c r="I66" s="156">
        <f t="shared" si="24"/>
        <v>0</v>
      </c>
      <c r="K66" s="667" t="s">
        <v>20</v>
      </c>
      <c r="L66" s="668"/>
      <c r="M66" s="152">
        <f>EOMONTH(CONCATENATE("01.","01.",$K$57),8)</f>
        <v>1735</v>
      </c>
      <c r="N66" s="153">
        <f t="shared" si="25"/>
        <v>0</v>
      </c>
      <c r="O66" s="153">
        <f t="shared" si="20"/>
        <v>0</v>
      </c>
      <c r="P66" s="677">
        <f t="shared" si="26"/>
        <v>0</v>
      </c>
      <c r="Q66" s="678"/>
      <c r="R66" s="156">
        <f>IF($M$6=TRUE,P66*'NK_SHK, WHK u. TUT'!$B$10,IF($O$6=TRUE,P66*'NK_SHK, WHK u. TUT'!$B$12,IF(P66&gt;'NK_SHK, WHK u. TUT'!$G$11,IF($G$17="Akad. Tutor",P66*'NK_SHK, WHK u. TUT'!$B$12,('NK_SHK, WHK u. TUT'!$B$25+'NK_SHK, WHK u. TUT'!$B$26*(P66-'NK_SHK, WHK u. TUT'!$G$11))*'NK_SHK, WHK u. TUT'!$B$20-('NK_SHK, WHK u. TUT'!$B$27*(P66-'NK_SHK, WHK u. TUT'!$G$11)*('NK_SHK, WHK u. TUT'!$B$20/2))),P66*'NK_SHK, WHK u. TUT'!$B$10)))</f>
        <v>0</v>
      </c>
      <c r="S66" s="156">
        <f>IF(P66&gt;0,'NK_SHK, WHK u. TUT'!$B$4*$Q$6,0)</f>
        <v>0</v>
      </c>
      <c r="T66" s="156">
        <f t="shared" si="27"/>
        <v>0</v>
      </c>
      <c r="V66" s="667" t="s">
        <v>20</v>
      </c>
      <c r="W66" s="668"/>
      <c r="X66" s="152">
        <f>EOMONTH(CONCATENATE("01.","01.",$V$57),8)</f>
        <v>2100</v>
      </c>
      <c r="Y66" s="153">
        <f t="shared" si="28"/>
        <v>0</v>
      </c>
      <c r="Z66" s="153">
        <f t="shared" si="22"/>
        <v>0</v>
      </c>
      <c r="AA66" s="677">
        <f t="shared" si="30"/>
        <v>0</v>
      </c>
      <c r="AB66" s="678"/>
      <c r="AC66" s="156">
        <f>IF($M$6=TRUE,AA66*'NK_SHK, WHK u. TUT'!$B$10,IF($O$6=TRUE,AA66*'NK_SHK, WHK u. TUT'!$B$12,IF(AA66&gt;'NK_SHK, WHK u. TUT'!$G$11,IF($G$17="Akad. Tutor",AA66*'NK_SHK, WHK u. TUT'!$B$12,('NK_SHK, WHK u. TUT'!$B$25+'NK_SHK, WHK u. TUT'!$B$26*(AA66-'NK_SHK, WHK u. TUT'!$G$11))*'NK_SHK, WHK u. TUT'!$B$20-('NK_SHK, WHK u. TUT'!$B$27*(AA66-'NK_SHK, WHK u. TUT'!$G$11)*('NK_SHK, WHK u. TUT'!$B$20/2))),AA66*'NK_SHK, WHK u. TUT'!$B$10)))</f>
        <v>0</v>
      </c>
      <c r="AD66" s="156">
        <f>IF(AA66&gt;0,'NK_SHK, WHK u. TUT'!$B$4*$Q$6,0)</f>
        <v>0</v>
      </c>
      <c r="AE66" s="156">
        <f t="shared" si="29"/>
        <v>0</v>
      </c>
    </row>
    <row r="67" spans="2:31" x14ac:dyDescent="0.35">
      <c r="B67" s="151" t="s">
        <v>21</v>
      </c>
      <c r="C67" s="152">
        <f>EOMONTH(CONCATENATE("01.","01.",$B$57),9)</f>
        <v>1400</v>
      </c>
      <c r="D67" s="153">
        <f t="shared" si="18"/>
        <v>0</v>
      </c>
      <c r="E67" s="153">
        <f t="shared" si="19"/>
        <v>0</v>
      </c>
      <c r="F67" s="154">
        <f t="shared" si="23"/>
        <v>0</v>
      </c>
      <c r="G67" s="156">
        <f>IF($M$6=TRUE,F67*'NK_SHK, WHK u. TUT'!$B$10,IF($O$6=TRUE,F67*'NK_SHK, WHK u. TUT'!$B$12,IF(F67&gt;'NK_SHK, WHK u. TUT'!$G$11,IF($G$17="Akad. Tutor",F67*'NK_SHK, WHK u. TUT'!$B$12,('NK_SHK, WHK u. TUT'!$B$25+'NK_SHK, WHK u. TUT'!$B$26*(F67-'NK_SHK, WHK u. TUT'!$G$11))*'NK_SHK, WHK u. TUT'!$B$20-('NK_SHK, WHK u. TUT'!$B$27*(F67-'NK_SHK, WHK u. TUT'!$G$11)*('NK_SHK, WHK u. TUT'!$B$20/2))),F67*'NK_SHK, WHK u. TUT'!$B$10)))</f>
        <v>0</v>
      </c>
      <c r="H67" s="156">
        <f>IF(F67&gt;0,'NK_SHK, WHK u. TUT'!$B$4*$Q$6,0)</f>
        <v>0</v>
      </c>
      <c r="I67" s="156">
        <f t="shared" si="24"/>
        <v>0</v>
      </c>
      <c r="K67" s="667" t="s">
        <v>21</v>
      </c>
      <c r="L67" s="668"/>
      <c r="M67" s="152">
        <f>EOMONTH(CONCATENATE("01.","01.",$K$57),9)</f>
        <v>1766</v>
      </c>
      <c r="N67" s="153">
        <f t="shared" si="25"/>
        <v>0</v>
      </c>
      <c r="O67" s="153">
        <f t="shared" si="20"/>
        <v>0</v>
      </c>
      <c r="P67" s="677">
        <f t="shared" si="26"/>
        <v>0</v>
      </c>
      <c r="Q67" s="678"/>
      <c r="R67" s="156">
        <f>IF($M$6=TRUE,P67*'NK_SHK, WHK u. TUT'!$B$10,IF($O$6=TRUE,P67*'NK_SHK, WHK u. TUT'!$B$12,IF(P67&gt;'NK_SHK, WHK u. TUT'!$G$11,IF($G$17="Akad. Tutor",P67*'NK_SHK, WHK u. TUT'!$B$12,('NK_SHK, WHK u. TUT'!$B$25+'NK_SHK, WHK u. TUT'!$B$26*(P67-'NK_SHK, WHK u. TUT'!$G$11))*'NK_SHK, WHK u. TUT'!$B$20-('NK_SHK, WHK u. TUT'!$B$27*(P67-'NK_SHK, WHK u. TUT'!$G$11)*('NK_SHK, WHK u. TUT'!$B$20/2))),P67*'NK_SHK, WHK u. TUT'!$B$10)))</f>
        <v>0</v>
      </c>
      <c r="S67" s="156">
        <f>IF(P67&gt;0,'NK_SHK, WHK u. TUT'!$B$4*$Q$6,0)</f>
        <v>0</v>
      </c>
      <c r="T67" s="156">
        <f t="shared" si="27"/>
        <v>0</v>
      </c>
      <c r="V67" s="667" t="s">
        <v>21</v>
      </c>
      <c r="W67" s="668"/>
      <c r="X67" s="152">
        <f>EOMONTH(CONCATENATE("01.","01.",$V$57),9)</f>
        <v>2131</v>
      </c>
      <c r="Y67" s="153">
        <f t="shared" si="28"/>
        <v>0</v>
      </c>
      <c r="Z67" s="153">
        <f t="shared" si="22"/>
        <v>0</v>
      </c>
      <c r="AA67" s="677">
        <f t="shared" si="30"/>
        <v>0</v>
      </c>
      <c r="AB67" s="678"/>
      <c r="AC67" s="156">
        <f>IF($M$6=TRUE,AA67*'NK_SHK, WHK u. TUT'!$B$10,IF($O$6=TRUE,AA67*'NK_SHK, WHK u. TUT'!$B$12,IF(AA67&gt;'NK_SHK, WHK u. TUT'!$G$11,IF($G$17="Akad. Tutor",AA67*'NK_SHK, WHK u. TUT'!$B$12,('NK_SHK, WHK u. TUT'!$B$25+'NK_SHK, WHK u. TUT'!$B$26*(AA67-'NK_SHK, WHK u. TUT'!$G$11))*'NK_SHK, WHK u. TUT'!$B$20-('NK_SHK, WHK u. TUT'!$B$27*(AA67-'NK_SHK, WHK u. TUT'!$G$11)*('NK_SHK, WHK u. TUT'!$B$20/2))),AA67*'NK_SHK, WHK u. TUT'!$B$10)))</f>
        <v>0</v>
      </c>
      <c r="AD67" s="156">
        <f>IF(AA67&gt;0,'NK_SHK, WHK u. TUT'!$B$4*$Q$6,0)</f>
        <v>0</v>
      </c>
      <c r="AE67" s="156">
        <f t="shared" si="29"/>
        <v>0</v>
      </c>
    </row>
    <row r="68" spans="2:31" x14ac:dyDescent="0.35">
      <c r="B68" s="151" t="s">
        <v>22</v>
      </c>
      <c r="C68" s="152">
        <f>EOMONTH(CONCATENATE("01.","01.",$B$57),10)</f>
        <v>1430</v>
      </c>
      <c r="D68" s="153">
        <f t="shared" si="18"/>
        <v>0</v>
      </c>
      <c r="E68" s="153">
        <f t="shared" si="19"/>
        <v>0</v>
      </c>
      <c r="F68" s="154">
        <f t="shared" si="23"/>
        <v>0</v>
      </c>
      <c r="G68" s="156">
        <f>IF($M$6=TRUE,F68*'NK_SHK, WHK u. TUT'!$B$10,IF($O$6=TRUE,F68*'NK_SHK, WHK u. TUT'!$B$12,IF(F68&gt;'NK_SHK, WHK u. TUT'!$G$11,IF($G$17="Akad. Tutor",F68*'NK_SHK, WHK u. TUT'!$B$12,('NK_SHK, WHK u. TUT'!$B$25+'NK_SHK, WHK u. TUT'!$B$26*(F68-'NK_SHK, WHK u. TUT'!$G$11))*'NK_SHK, WHK u. TUT'!$B$20-('NK_SHK, WHK u. TUT'!$B$27*(F68-'NK_SHK, WHK u. TUT'!$G$11)*('NK_SHK, WHK u. TUT'!$B$20/2))),F68*'NK_SHK, WHK u. TUT'!$B$10)))</f>
        <v>0</v>
      </c>
      <c r="H68" s="156">
        <f>IF(F68&gt;0,'NK_SHK, WHK u. TUT'!$B$4*$Q$6,0)</f>
        <v>0</v>
      </c>
      <c r="I68" s="156">
        <f t="shared" si="24"/>
        <v>0</v>
      </c>
      <c r="K68" s="667" t="s">
        <v>22</v>
      </c>
      <c r="L68" s="668"/>
      <c r="M68" s="152">
        <f>EOMONTH(CONCATENATE("01.","01.",$K$57),10)</f>
        <v>1796</v>
      </c>
      <c r="N68" s="153">
        <f t="shared" si="25"/>
        <v>0</v>
      </c>
      <c r="O68" s="153">
        <f t="shared" si="20"/>
        <v>0</v>
      </c>
      <c r="P68" s="677">
        <f t="shared" si="26"/>
        <v>0</v>
      </c>
      <c r="Q68" s="678"/>
      <c r="R68" s="156">
        <f>IF($M$6=TRUE,P68*'NK_SHK, WHK u. TUT'!$B$10,IF($O$6=TRUE,P68*'NK_SHK, WHK u. TUT'!$B$12,IF(P68&gt;'NK_SHK, WHK u. TUT'!$G$11,IF($G$17="Akad. Tutor",P68*'NK_SHK, WHK u. TUT'!$B$12,('NK_SHK, WHK u. TUT'!$B$25+'NK_SHK, WHK u. TUT'!$B$26*(P68-'NK_SHK, WHK u. TUT'!$G$11))*'NK_SHK, WHK u. TUT'!$B$20-('NK_SHK, WHK u. TUT'!$B$27*(P68-'NK_SHK, WHK u. TUT'!$G$11)*('NK_SHK, WHK u. TUT'!$B$20/2))),P68*'NK_SHK, WHK u. TUT'!$B$10)))</f>
        <v>0</v>
      </c>
      <c r="S68" s="156">
        <f>IF(P68&gt;0,'NK_SHK, WHK u. TUT'!$B$4*$Q$6,0)</f>
        <v>0</v>
      </c>
      <c r="T68" s="156">
        <f t="shared" si="27"/>
        <v>0</v>
      </c>
      <c r="V68" s="667" t="s">
        <v>22</v>
      </c>
      <c r="W68" s="668"/>
      <c r="X68" s="152">
        <f>EOMONTH(CONCATENATE("01.","01.",$V$57),10)</f>
        <v>2161</v>
      </c>
      <c r="Y68" s="153">
        <f t="shared" si="28"/>
        <v>0</v>
      </c>
      <c r="Z68" s="153">
        <f t="shared" si="22"/>
        <v>0</v>
      </c>
      <c r="AA68" s="677">
        <f t="shared" si="30"/>
        <v>0</v>
      </c>
      <c r="AB68" s="678"/>
      <c r="AC68" s="156">
        <f>IF($M$6=TRUE,AA68*'NK_SHK, WHK u. TUT'!$B$10,IF($O$6=TRUE,AA68*'NK_SHK, WHK u. TUT'!$B$12,IF(AA68&gt;'NK_SHK, WHK u. TUT'!$G$11,IF($G$17="Akad. Tutor",AA68*'NK_SHK, WHK u. TUT'!$B$12,('NK_SHK, WHK u. TUT'!$B$25+'NK_SHK, WHK u. TUT'!$B$26*(AA68-'NK_SHK, WHK u. TUT'!$G$11))*'NK_SHK, WHK u. TUT'!$B$20-('NK_SHK, WHK u. TUT'!$B$27*(AA68-'NK_SHK, WHK u. TUT'!$G$11)*('NK_SHK, WHK u. TUT'!$B$20/2))),AA68*'NK_SHK, WHK u. TUT'!$B$10)))</f>
        <v>0</v>
      </c>
      <c r="AD68" s="156">
        <f>IF(AA68&gt;0,'NK_SHK, WHK u. TUT'!$B$4*$Q$6,0)</f>
        <v>0</v>
      </c>
      <c r="AE68" s="156">
        <f t="shared" si="29"/>
        <v>0</v>
      </c>
    </row>
    <row r="69" spans="2:31" x14ac:dyDescent="0.35">
      <c r="B69" s="151" t="s">
        <v>23</v>
      </c>
      <c r="C69" s="152">
        <f>EOMONTH(CONCATENATE("01.","01.",$B$57),11)</f>
        <v>1461</v>
      </c>
      <c r="D69" s="153">
        <f t="shared" si="18"/>
        <v>0</v>
      </c>
      <c r="E69" s="153">
        <f>IF($I$25="",0,IF(C69&lt;$I$25,0,IF(AND(MONTH($I$25)=MONTH($J$25),MONTH(C69)=MONTH($J$25)),$J$26,(IF(D69&gt;0,30-D69,IF(AND(C69&gt;=$I$25,C69&lt;=$J$25),30,IF((MONTH(C69)=MONTH($J$25)),DAY($J$25)*IF(AND(MONTH($I$25)&lt;&gt;MONTH($J$25),MONTH(C69)=MONTH($I$25)),$J$26,IF(AND(D69&gt;0,DAY($G$25)&gt;1,MONTH($G$25)=MONTH($H$25)),30-D69-DAY($G$25)+1,IF(AND(D69&gt;0,DAY($G$25)&gt;1),30-D69,0))))))))))</f>
        <v>0</v>
      </c>
      <c r="F69" s="154">
        <f t="shared" si="23"/>
        <v>0</v>
      </c>
      <c r="G69" s="156">
        <f>IF($M$6=TRUE,F69*'NK_SHK, WHK u. TUT'!$B$10,IF($O$6=TRUE,F69*'NK_SHK, WHK u. TUT'!$B$12,IF(F69&gt;'NK_SHK, WHK u. TUT'!$G$11,IF($G$17="Akad. Tutor",F69*'NK_SHK, WHK u. TUT'!$B$12,('NK_SHK, WHK u. TUT'!$B$25+'NK_SHK, WHK u. TUT'!$B$26*(F69-'NK_SHK, WHK u. TUT'!$G$11))*'NK_SHK, WHK u. TUT'!$B$20-('NK_SHK, WHK u. TUT'!$B$27*(F69-'NK_SHK, WHK u. TUT'!$G$11)*('NK_SHK, WHK u. TUT'!$B$20/2))),F69*'NK_SHK, WHK u. TUT'!$B$10)))</f>
        <v>0</v>
      </c>
      <c r="H69" s="156">
        <f>IF(F69&gt;0,'NK_SHK, WHK u. TUT'!$B$4*$Q$6,0)</f>
        <v>0</v>
      </c>
      <c r="I69" s="156">
        <f t="shared" si="24"/>
        <v>0</v>
      </c>
      <c r="K69" s="667" t="s">
        <v>23</v>
      </c>
      <c r="L69" s="668"/>
      <c r="M69" s="152">
        <f>EOMONTH(CONCATENATE("01.","01.",$K$57),11)</f>
        <v>1827</v>
      </c>
      <c r="N69" s="153">
        <f t="shared" si="25"/>
        <v>0</v>
      </c>
      <c r="O69" s="153">
        <f>IF($P$25="",0,IF(M69&lt;$P$25,0,IF(AND(MONTH($P$25)=MONTH($Q$25),MONTH(M69)=MONTH($Q$25)),$Q$26,(IF(N69&gt;0,30-N69,IF(AND(M69&gt;=$P$25,M69&lt;=$Q$25),30,IF((MONTH(M69)=MONTH($Q$25)),DAY($Q$25),IF(AND(MONTH($P$25)&lt;&gt;MONTH($Q$25),MONTH(M69)=MONTH($P$25)),$Q$26,IF(AND(N69&gt;0,DAY($K$25)&gt;1,MONTH($K$25)=MONTH($L$25)),30-N69-DAY($K$25)+1,IF(AND(N69&gt;0,DAY($K$25)&gt;1),30-N69,0))))))))))</f>
        <v>0</v>
      </c>
      <c r="P69" s="677">
        <f t="shared" si="26"/>
        <v>0</v>
      </c>
      <c r="Q69" s="678"/>
      <c r="R69" s="156">
        <f>IF($M$6=TRUE,P69*'NK_SHK, WHK u. TUT'!$B$10,IF($O$6=TRUE,P69*'NK_SHK, WHK u. TUT'!$B$12,IF(P69&gt;'NK_SHK, WHK u. TUT'!$G$11,IF($G$17="Akad. Tutor",P69*'NK_SHK, WHK u. TUT'!$B$12,('NK_SHK, WHK u. TUT'!$B$25+'NK_SHK, WHK u. TUT'!$B$26*(P69-'NK_SHK, WHK u. TUT'!$G$11))*'NK_SHK, WHK u. TUT'!$B$20-('NK_SHK, WHK u. TUT'!$B$27*(P69-'NK_SHK, WHK u. TUT'!$G$11)*('NK_SHK, WHK u. TUT'!$B$20/2))),P69*'NK_SHK, WHK u. TUT'!$B$10)))</f>
        <v>0</v>
      </c>
      <c r="S69" s="156">
        <f>IF(P69&gt;0,'NK_SHK, WHK u. TUT'!$B$4*$Q$6,0)</f>
        <v>0</v>
      </c>
      <c r="T69" s="156">
        <f t="shared" si="27"/>
        <v>0</v>
      </c>
      <c r="V69" s="667" t="s">
        <v>23</v>
      </c>
      <c r="W69" s="668"/>
      <c r="X69" s="152">
        <f>EOMONTH(CONCATENATE("01.","01.",$V$57),11)</f>
        <v>2192</v>
      </c>
      <c r="Y69" s="153">
        <f t="shared" si="28"/>
        <v>0</v>
      </c>
      <c r="Z69" s="153">
        <f>IF($T$25="",0,IF(X69&lt;$T$25,0,IF(AND(MONTH($T$25)=MONTH($U$25),MONTH(X69)=MONTH($U$25)),$U$26,(IF(Y69&gt;0,30-Y69,IF(AND(X69&gt;=$T$25,X69&lt;=$U$25),30,IF((MONTH(X69)=MONTH($U$25)),DAY($U$25),IF(AND(MONTH($T$25)&lt;&gt;MONTH($U$25),MONTH(X69)=MONTH($T$25)),$U$26,IF(AND(Y69&gt;0,DAY($R$25)&gt;1,MONTH($R$25)=MONTH($S$25)),30-Y69-DAY($R$25)+1,IF(AND(Y69&gt;0,DAY($R$25)&gt;1),30-Y69,0))))))))))</f>
        <v>0</v>
      </c>
      <c r="AA69" s="677">
        <f t="shared" si="30"/>
        <v>0</v>
      </c>
      <c r="AB69" s="678"/>
      <c r="AC69" s="156">
        <f>IF($M$6=TRUE,AA69*'NK_SHK, WHK u. TUT'!$B$10,IF($O$6=TRUE,AA69*'NK_SHK, WHK u. TUT'!$B$12,IF(AA69&gt;'NK_SHK, WHK u. TUT'!$G$11,IF($G$17="Akad. Tutor",AA69*'NK_SHK, WHK u. TUT'!$B$12,('NK_SHK, WHK u. TUT'!$B$25+'NK_SHK, WHK u. TUT'!$B$26*(AA69-'NK_SHK, WHK u. TUT'!$G$11))*'NK_SHK, WHK u. TUT'!$B$20-('NK_SHK, WHK u. TUT'!$B$27*(AA69-'NK_SHK, WHK u. TUT'!$G$11)*('NK_SHK, WHK u. TUT'!$B$20/2))),AA69*'NK_SHK, WHK u. TUT'!$B$10)))</f>
        <v>0</v>
      </c>
      <c r="AD69" s="156">
        <f>IF(AA69&gt;0,'NK_SHK, WHK u. TUT'!$B$4*$Q$6,0)</f>
        <v>0</v>
      </c>
      <c r="AE69" s="156">
        <f t="shared" si="29"/>
        <v>0</v>
      </c>
    </row>
    <row r="70" spans="2:31" ht="16.5" thickBot="1" x14ac:dyDescent="0.4">
      <c r="B70" s="311" t="s">
        <v>24</v>
      </c>
      <c r="C70" s="311"/>
      <c r="D70" s="311"/>
      <c r="E70" s="311"/>
      <c r="F70" s="312">
        <f>SUM(F58:F69)</f>
        <v>0</v>
      </c>
      <c r="G70" s="313">
        <f>SUM(G58:G69)</f>
        <v>0</v>
      </c>
      <c r="H70" s="313">
        <f>SUM(H58:H69)</f>
        <v>0</v>
      </c>
      <c r="I70" s="313">
        <f>SUM(I58:I69)</f>
        <v>0</v>
      </c>
      <c r="K70" s="808" t="s">
        <v>24</v>
      </c>
      <c r="L70" s="809"/>
      <c r="M70" s="314"/>
      <c r="N70" s="314"/>
      <c r="O70" s="314"/>
      <c r="P70" s="810">
        <f>SUM(P58:P69)</f>
        <v>0</v>
      </c>
      <c r="Q70" s="811"/>
      <c r="R70" s="315">
        <f>SUM(R58:R69)</f>
        <v>0</v>
      </c>
      <c r="S70" s="315">
        <f>SUM(S58:S69)</f>
        <v>0</v>
      </c>
      <c r="T70" s="315">
        <f>SUM(T58:T69)</f>
        <v>0</v>
      </c>
      <c r="V70" s="833" t="s">
        <v>24</v>
      </c>
      <c r="W70" s="834"/>
      <c r="X70" s="316"/>
      <c r="Y70" s="316"/>
      <c r="Z70" s="316"/>
      <c r="AA70" s="859">
        <f>SUM(AA58:AA69)</f>
        <v>0</v>
      </c>
      <c r="AB70" s="860"/>
      <c r="AC70" s="317">
        <f>SUM(AC58:AC69)</f>
        <v>0</v>
      </c>
      <c r="AD70" s="317">
        <f>SUM(AD58:AD69)</f>
        <v>0</v>
      </c>
      <c r="AE70" s="317">
        <f>SUM(AE58:AE69)</f>
        <v>0</v>
      </c>
    </row>
    <row r="71" spans="2:31" ht="16.5" hidden="1" outlineLevel="1" thickBot="1" x14ac:dyDescent="0.4">
      <c r="B71" s="169" t="s">
        <v>108</v>
      </c>
      <c r="F71" s="170">
        <f>IFERROR((SUM(F58:F69)/COUNTIFS(F58:F69,"&gt;0")),0)</f>
        <v>0</v>
      </c>
      <c r="G71" s="305">
        <f t="shared" ref="G71:I71" si="31">IFERROR((SUM(G58:G69)/COUNTIFS(G58:G69,"&gt;0")),0)</f>
        <v>0</v>
      </c>
      <c r="H71" s="305">
        <f t="shared" si="31"/>
        <v>0</v>
      </c>
      <c r="I71" s="305">
        <f t="shared" si="31"/>
        <v>0</v>
      </c>
      <c r="K71" s="853" t="s">
        <v>108</v>
      </c>
      <c r="L71" s="854" t="s">
        <v>108</v>
      </c>
      <c r="M71" s="248"/>
      <c r="N71" s="248"/>
      <c r="O71" s="248"/>
      <c r="P71" s="855">
        <f>IFERROR((SUM(P58:Q69)/COUNTIFS(P58:Q69,"&gt;0")),0)</f>
        <v>0</v>
      </c>
      <c r="Q71" s="856"/>
      <c r="R71" s="305">
        <f t="shared" ref="R71:T71" si="32">IFERROR((SUM(R58:R69)/COUNTIFS(R58:R69,"&gt;0")),0)</f>
        <v>0</v>
      </c>
      <c r="S71" s="305">
        <f t="shared" si="32"/>
        <v>0</v>
      </c>
      <c r="T71" s="305">
        <f t="shared" si="32"/>
        <v>0</v>
      </c>
      <c r="V71" s="853" t="s">
        <v>108</v>
      </c>
      <c r="W71" s="854" t="s">
        <v>108</v>
      </c>
      <c r="X71" s="248"/>
      <c r="Y71" s="248"/>
      <c r="Z71" s="248"/>
      <c r="AA71" s="855">
        <f>IFERROR((SUM(AA58:AB69)/COUNTIFS(AA58:AB69,"&gt;0")),0)</f>
        <v>0</v>
      </c>
      <c r="AB71" s="856"/>
      <c r="AC71" s="305">
        <f t="shared" ref="AC71:AE71" si="33">IFERROR((SUM(AC58:AC69)/COUNTIFS(AC58:AC69,"&gt;0")),0)</f>
        <v>0</v>
      </c>
      <c r="AD71" s="305">
        <f t="shared" si="33"/>
        <v>0</v>
      </c>
      <c r="AE71" s="305">
        <f t="shared" si="33"/>
        <v>0</v>
      </c>
    </row>
    <row r="72" spans="2:31" collapsed="1" x14ac:dyDescent="0.35"/>
    <row r="76" spans="2:31" ht="51.75" customHeight="1" thickBot="1" x14ac:dyDescent="0.4">
      <c r="B76" s="666" t="s">
        <v>178</v>
      </c>
      <c r="C76" s="666"/>
      <c r="D76" s="666"/>
      <c r="E76" s="666"/>
      <c r="F76" s="666"/>
      <c r="G76" s="666"/>
      <c r="H76" s="230"/>
      <c r="I76" s="230"/>
      <c r="J76" s="230"/>
      <c r="K76" s="691" t="s">
        <v>26</v>
      </c>
      <c r="L76" s="691"/>
      <c r="M76" s="691"/>
      <c r="N76" s="691"/>
      <c r="O76" s="691"/>
      <c r="P76" s="691"/>
      <c r="Q76" s="691"/>
      <c r="R76" s="690" t="e">
        <f>I52+T52+AE52+I70+T70+AE70</f>
        <v>#N/A</v>
      </c>
      <c r="S76" s="690"/>
    </row>
    <row r="77" spans="2:31" ht="16.5" thickTop="1" x14ac:dyDescent="0.35"/>
    <row r="83" spans="18:43" ht="16.5" outlineLevel="1" thickBot="1" x14ac:dyDescent="0.4">
      <c r="R83" s="848" t="s">
        <v>120</v>
      </c>
      <c r="S83" s="848"/>
      <c r="T83" s="848"/>
      <c r="U83" s="848"/>
      <c r="V83" s="848"/>
      <c r="W83" s="848"/>
    </row>
    <row r="84" spans="18:43" ht="24.75" customHeight="1" outlineLevel="1" x14ac:dyDescent="0.35">
      <c r="R84" s="195">
        <f>G11</f>
        <v>1900</v>
      </c>
      <c r="S84" s="196">
        <f>R84+1</f>
        <v>1901</v>
      </c>
      <c r="T84" s="197">
        <f>S84+1</f>
        <v>1902</v>
      </c>
      <c r="U84" s="198">
        <f>T84+1</f>
        <v>1903</v>
      </c>
      <c r="V84" s="199">
        <f>U84+1</f>
        <v>1904</v>
      </c>
      <c r="W84" s="200">
        <f>V84+1</f>
        <v>1905</v>
      </c>
    </row>
    <row r="85" spans="18:43" ht="24.75" customHeight="1" outlineLevel="1" thickBot="1" x14ac:dyDescent="0.4">
      <c r="R85" s="201" t="e">
        <f>I52</f>
        <v>#N/A</v>
      </c>
      <c r="S85" s="202">
        <f>T52</f>
        <v>0</v>
      </c>
      <c r="T85" s="202">
        <f>AE52</f>
        <v>0</v>
      </c>
      <c r="U85" s="202">
        <f>I70</f>
        <v>0</v>
      </c>
      <c r="V85" s="202">
        <f>T70</f>
        <v>0</v>
      </c>
      <c r="W85" s="203">
        <f>AE70</f>
        <v>0</v>
      </c>
    </row>
    <row r="86" spans="18:43" outlineLevel="1" x14ac:dyDescent="0.35"/>
    <row r="90" spans="18:43" x14ac:dyDescent="0.35">
      <c r="AQ90" s="58" t="s">
        <v>134</v>
      </c>
    </row>
    <row r="92" spans="18:43" x14ac:dyDescent="0.35">
      <c r="AQ92" s="60" t="s">
        <v>148</v>
      </c>
    </row>
  </sheetData>
  <sheetProtection formatCells="0" formatColumns="0" formatRows="0" insertColumns="0" insertRows="0" insertHyperlinks="0" deleteColumns="0" deleteRows="0" sort="0" autoFilter="0" pivotTables="0"/>
  <protectedRanges>
    <protectedRange sqref="AD14" name="Durchschnittwerte_1"/>
    <protectedRange sqref="AD16:AD25" name="Durchschnittwerte_2"/>
    <protectedRange sqref="AE13" name="Durchschnittwerte_3"/>
  </protectedRanges>
  <mergeCells count="210">
    <mergeCell ref="AB4:AD4"/>
    <mergeCell ref="AA45:AB45"/>
    <mergeCell ref="AA44:AB44"/>
    <mergeCell ref="AA43:AB43"/>
    <mergeCell ref="AA42:AB42"/>
    <mergeCell ref="AA41:AB41"/>
    <mergeCell ref="AA40:AB40"/>
    <mergeCell ref="AA38:AB38"/>
    <mergeCell ref="AA62:AB62"/>
    <mergeCell ref="AA61:AB61"/>
    <mergeCell ref="AA60:AB60"/>
    <mergeCell ref="AA59:AB59"/>
    <mergeCell ref="AA58:AB58"/>
    <mergeCell ref="AA57:AB57"/>
    <mergeCell ref="AA53:AB53"/>
    <mergeCell ref="AA48:AB48"/>
    <mergeCell ref="AA47:AB47"/>
    <mergeCell ref="AA56:AB56"/>
    <mergeCell ref="AA39:AB39"/>
    <mergeCell ref="AA46:AB46"/>
    <mergeCell ref="AA50:AB50"/>
    <mergeCell ref="AA49:AB49"/>
    <mergeCell ref="AA52:AB52"/>
    <mergeCell ref="AA51:AB51"/>
    <mergeCell ref="AA71:AB71"/>
    <mergeCell ref="AA70:AB70"/>
    <mergeCell ref="AA69:AB69"/>
    <mergeCell ref="AA68:AB68"/>
    <mergeCell ref="AA67:AB67"/>
    <mergeCell ref="AA66:AB66"/>
    <mergeCell ref="AA65:AB65"/>
    <mergeCell ref="AA64:AB64"/>
    <mergeCell ref="AA63:AB63"/>
    <mergeCell ref="R83:W83"/>
    <mergeCell ref="K56:L56"/>
    <mergeCell ref="P56:Q56"/>
    <mergeCell ref="V56:W56"/>
    <mergeCell ref="V46:W46"/>
    <mergeCell ref="V50:W50"/>
    <mergeCell ref="V49:W49"/>
    <mergeCell ref="K47:L47"/>
    <mergeCell ref="P47:Q47"/>
    <mergeCell ref="K48:L48"/>
    <mergeCell ref="P48:Q48"/>
    <mergeCell ref="K46:L46"/>
    <mergeCell ref="P46:Q46"/>
    <mergeCell ref="K53:L53"/>
    <mergeCell ref="P53:Q53"/>
    <mergeCell ref="K71:L71"/>
    <mergeCell ref="P71:Q71"/>
    <mergeCell ref="V53:W53"/>
    <mergeCell ref="V71:W71"/>
    <mergeCell ref="V52:W52"/>
    <mergeCell ref="V51:W51"/>
    <mergeCell ref="K51:L51"/>
    <mergeCell ref="P51:Q51"/>
    <mergeCell ref="K52:L52"/>
    <mergeCell ref="AB11:AE11"/>
    <mergeCell ref="G12:H12"/>
    <mergeCell ref="I12:J12"/>
    <mergeCell ref="K12:L12"/>
    <mergeCell ref="P12:Q12"/>
    <mergeCell ref="R12:S12"/>
    <mergeCell ref="T12:U12"/>
    <mergeCell ref="G23:H23"/>
    <mergeCell ref="I23:J23"/>
    <mergeCell ref="K23:L23"/>
    <mergeCell ref="P23:Q23"/>
    <mergeCell ref="R23:S23"/>
    <mergeCell ref="T23:U23"/>
    <mergeCell ref="G22:J22"/>
    <mergeCell ref="K22:Q22"/>
    <mergeCell ref="R22:U22"/>
    <mergeCell ref="R19:S19"/>
    <mergeCell ref="G18:H18"/>
    <mergeCell ref="K18:L18"/>
    <mergeCell ref="G20:H20"/>
    <mergeCell ref="I20:J20"/>
    <mergeCell ref="I19:J19"/>
    <mergeCell ref="G19:H19"/>
    <mergeCell ref="G16:H16"/>
    <mergeCell ref="G29:H29"/>
    <mergeCell ref="I29:J29"/>
    <mergeCell ref="K29:L29"/>
    <mergeCell ref="P29:Q29"/>
    <mergeCell ref="R29:S29"/>
    <mergeCell ref="I31:J31"/>
    <mergeCell ref="K31:L31"/>
    <mergeCell ref="P31:Q31"/>
    <mergeCell ref="K38:L38"/>
    <mergeCell ref="R31:S31"/>
    <mergeCell ref="R30:S30"/>
    <mergeCell ref="G31:H31"/>
    <mergeCell ref="G30:H30"/>
    <mergeCell ref="I30:J30"/>
    <mergeCell ref="K30:L30"/>
    <mergeCell ref="P30:Q30"/>
    <mergeCell ref="V70:W70"/>
    <mergeCell ref="K68:L68"/>
    <mergeCell ref="P68:Q68"/>
    <mergeCell ref="V68:W68"/>
    <mergeCell ref="K69:L69"/>
    <mergeCell ref="P69:Q69"/>
    <mergeCell ref="V69:W69"/>
    <mergeCell ref="K45:L45"/>
    <mergeCell ref="P45:Q45"/>
    <mergeCell ref="K49:L49"/>
    <mergeCell ref="P49:Q49"/>
    <mergeCell ref="K50:L50"/>
    <mergeCell ref="P50:Q50"/>
    <mergeCell ref="K66:L66"/>
    <mergeCell ref="P66:Q66"/>
    <mergeCell ref="K62:L62"/>
    <mergeCell ref="P62:Q62"/>
    <mergeCell ref="K58:L58"/>
    <mergeCell ref="P58:Q58"/>
    <mergeCell ref="P52:Q52"/>
    <mergeCell ref="V66:W66"/>
    <mergeCell ref="K67:L67"/>
    <mergeCell ref="P67:Q67"/>
    <mergeCell ref="V67:W67"/>
    <mergeCell ref="K64:L64"/>
    <mergeCell ref="P64:Q64"/>
    <mergeCell ref="V64:W64"/>
    <mergeCell ref="K65:L65"/>
    <mergeCell ref="P65:Q65"/>
    <mergeCell ref="V65:W65"/>
    <mergeCell ref="V39:W39"/>
    <mergeCell ref="V38:W38"/>
    <mergeCell ref="V48:W48"/>
    <mergeCell ref="V47:W47"/>
    <mergeCell ref="V62:W62"/>
    <mergeCell ref="K63:L63"/>
    <mergeCell ref="P63:Q63"/>
    <mergeCell ref="V63:W63"/>
    <mergeCell ref="K60:L60"/>
    <mergeCell ref="P60:Q60"/>
    <mergeCell ref="V60:W60"/>
    <mergeCell ref="K61:L61"/>
    <mergeCell ref="P61:Q61"/>
    <mergeCell ref="V61:W61"/>
    <mergeCell ref="K44:L44"/>
    <mergeCell ref="P44:Q44"/>
    <mergeCell ref="K41:L41"/>
    <mergeCell ref="P41:Q41"/>
    <mergeCell ref="K39:L39"/>
    <mergeCell ref="P39:Q39"/>
    <mergeCell ref="K42:L42"/>
    <mergeCell ref="P38:Q38"/>
    <mergeCell ref="V58:W58"/>
    <mergeCell ref="K59:L59"/>
    <mergeCell ref="P59:Q59"/>
    <mergeCell ref="V59:W59"/>
    <mergeCell ref="K57:L57"/>
    <mergeCell ref="P57:Q57"/>
    <mergeCell ref="V57:W57"/>
    <mergeCell ref="K40:L40"/>
    <mergeCell ref="P40:Q40"/>
    <mergeCell ref="K43:L43"/>
    <mergeCell ref="P43:Q43"/>
    <mergeCell ref="P42:Q42"/>
    <mergeCell ref="V45:W45"/>
    <mergeCell ref="V43:W43"/>
    <mergeCell ref="V40:W40"/>
    <mergeCell ref="V42:W42"/>
    <mergeCell ref="V41:W41"/>
    <mergeCell ref="V44:W44"/>
    <mergeCell ref="G6:H6"/>
    <mergeCell ref="G5:H5"/>
    <mergeCell ref="G17:J17"/>
    <mergeCell ref="K17:Q17"/>
    <mergeCell ref="R17:U17"/>
    <mergeCell ref="G28:J28"/>
    <mergeCell ref="K28:Q28"/>
    <mergeCell ref="R28:U28"/>
    <mergeCell ref="T18:U18"/>
    <mergeCell ref="T27:U27"/>
    <mergeCell ref="T19:U19"/>
    <mergeCell ref="K20:L20"/>
    <mergeCell ref="P20:Q20"/>
    <mergeCell ref="R20:S20"/>
    <mergeCell ref="T20:U20"/>
    <mergeCell ref="K19:L19"/>
    <mergeCell ref="P19:Q19"/>
    <mergeCell ref="U6:W6"/>
    <mergeCell ref="U5:W5"/>
    <mergeCell ref="B76:G76"/>
    <mergeCell ref="G11:J11"/>
    <mergeCell ref="K11:Q11"/>
    <mergeCell ref="R11:U11"/>
    <mergeCell ref="I18:J18"/>
    <mergeCell ref="P18:Q18"/>
    <mergeCell ref="R18:S18"/>
    <mergeCell ref="G27:H27"/>
    <mergeCell ref="I27:J27"/>
    <mergeCell ref="K27:L27"/>
    <mergeCell ref="P27:Q27"/>
    <mergeCell ref="R27:S27"/>
    <mergeCell ref="I16:J16"/>
    <mergeCell ref="K16:L16"/>
    <mergeCell ref="P16:Q16"/>
    <mergeCell ref="R16:S16"/>
    <mergeCell ref="T16:U16"/>
    <mergeCell ref="K76:Q76"/>
    <mergeCell ref="T29:U29"/>
    <mergeCell ref="R76:S76"/>
    <mergeCell ref="K70:L70"/>
    <mergeCell ref="P70:Q70"/>
    <mergeCell ref="T31:U31"/>
    <mergeCell ref="T30:U30"/>
  </mergeCells>
  <conditionalFormatting sqref="J6">
    <cfRule type="expression" dxfId="18" priority="12">
      <formula>ISBLANK($J$6)</formula>
    </cfRule>
    <cfRule type="expression" dxfId="17" priority="25">
      <formula>ISBLANK($J$5)</formula>
    </cfRule>
    <cfRule type="expression" dxfId="16" priority="26">
      <formula>ISBLANK($J$5)</formula>
    </cfRule>
  </conditionalFormatting>
  <conditionalFormatting sqref="K6">
    <cfRule type="expression" dxfId="15" priority="13">
      <formula>ISBLANK($K$6)</formula>
    </cfRule>
    <cfRule type="expression" dxfId="14" priority="24">
      <formula>ISBLANK($K$5)</formula>
    </cfRule>
  </conditionalFormatting>
  <conditionalFormatting sqref="P6">
    <cfRule type="expression" dxfId="13" priority="19">
      <formula>ISBLANK($P$6)</formula>
    </cfRule>
  </conditionalFormatting>
  <conditionalFormatting sqref="K6">
    <cfRule type="expression" dxfId="12" priority="17">
      <formula>ISBLANK($J$5)</formula>
    </cfRule>
    <cfRule type="expression" dxfId="11" priority="18">
      <formula>ISBLANK($J$5)</formula>
    </cfRule>
  </conditionalFormatting>
  <conditionalFormatting sqref="L6">
    <cfRule type="expression" dxfId="10" priority="14">
      <formula>ISBLANK($L$6)</formula>
    </cfRule>
    <cfRule type="expression" dxfId="9" priority="15">
      <formula>ISBLANK($L$6)</formula>
    </cfRule>
  </conditionalFormatting>
  <conditionalFormatting sqref="Q6">
    <cfRule type="expression" dxfId="8" priority="10">
      <formula>ISBLANK($Q$6)</formula>
    </cfRule>
  </conditionalFormatting>
  <dataValidations xWindow="1465" yWindow="436" count="2">
    <dataValidation type="date" allowBlank="1" showInputMessage="1" showErrorMessage="1" sqref="M14:O14 K6:L6 M25:O25" xr:uid="{00000000-0002-0000-0400-000000000000}">
      <formula1>36526</formula1>
      <formula2>401768</formula2>
    </dataValidation>
    <dataValidation errorStyle="warning" operator="lessThan" allowBlank="1" showInputMessage="1" showErrorMessage="1" sqref="P6:Q6" xr:uid="{00000000-0002-0000-0400-000002000000}"/>
  </dataValidations>
  <hyperlinks>
    <hyperlink ref="AB7" r:id="rId1" display="https://www.lohn-info.de/zeitberechnungen.html" xr:uid="{87A6F74D-2B92-4829-8D6C-D6A04001AE1A}"/>
  </hyperlinks>
  <printOptions horizontalCentered="1" verticalCentered="1"/>
  <pageMargins left="0.70866141732283472" right="0.70866141732283472" top="0.78740157480314965" bottom="0.78740157480314965" header="0.31496062992125984" footer="0.31496062992125984"/>
  <pageSetup paperSize="9" scale="36"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49162" r:id="rId5" name="Check Box 10">
              <controlPr defaultSize="0" autoFill="0" autoLine="0" autoPict="0" altText="kalkulatoriche Tariferhöhung berücksichtigen">
                <anchor moveWithCells="1">
                  <from>
                    <xdr:col>17</xdr:col>
                    <xdr:colOff>514350</xdr:colOff>
                    <xdr:row>5</xdr:row>
                    <xdr:rowOff>28575</xdr:rowOff>
                  </from>
                  <to>
                    <xdr:col>19</xdr:col>
                    <xdr:colOff>561975</xdr:colOff>
                    <xdr:row>6</xdr:row>
                    <xdr:rowOff>57150</xdr:rowOff>
                  </to>
                </anchor>
              </controlPr>
            </control>
          </mc:Choice>
        </mc:AlternateContent>
        <mc:AlternateContent xmlns:mc="http://schemas.openxmlformats.org/markup-compatibility/2006">
          <mc:Choice Requires="x14">
            <control shapeId="49171" r:id="rId6" name="Check Box 19">
              <controlPr defaultSize="0" autoFill="0" autoLine="0" autoPict="0" altText="">
                <anchor moveWithCells="1">
                  <from>
                    <xdr:col>17</xdr:col>
                    <xdr:colOff>514350</xdr:colOff>
                    <xdr:row>3</xdr:row>
                    <xdr:rowOff>200025</xdr:rowOff>
                  </from>
                  <to>
                    <xdr:col>19</xdr:col>
                    <xdr:colOff>533400</xdr:colOff>
                    <xdr:row>4</xdr:row>
                    <xdr:rowOff>371475</xdr:rowOff>
                  </to>
                </anchor>
              </controlPr>
            </control>
          </mc:Choice>
        </mc:AlternateContent>
        <mc:AlternateContent xmlns:mc="http://schemas.openxmlformats.org/markup-compatibility/2006">
          <mc:Choice Requires="x14">
            <control shapeId="49175" r:id="rId7" name="Check Box 23">
              <controlPr defaultSize="0" autoFill="0" autoLine="0" autoPict="0" altText="">
                <anchor moveWithCells="1">
                  <from>
                    <xdr:col>17</xdr:col>
                    <xdr:colOff>514350</xdr:colOff>
                    <xdr:row>2</xdr:row>
                    <xdr:rowOff>228600</xdr:rowOff>
                  </from>
                  <to>
                    <xdr:col>19</xdr:col>
                    <xdr:colOff>552450</xdr:colOff>
                    <xdr:row>2</xdr:row>
                    <xdr:rowOff>781050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465" yWindow="436" count="3">
        <x14:dataValidation type="list" allowBlank="1" showInputMessage="1" showErrorMessage="1" xr:uid="{00000000-0002-0000-0400-000003000000}">
          <x14:formula1>
            <xm:f>'DROP DOWN'!$E$3:$E$18</xm:f>
          </x14:formula1>
          <xm:sqref>H85</xm:sqref>
        </x14:dataValidation>
        <x14:dataValidation type="list" allowBlank="1" showInputMessage="1" showErrorMessage="1" xr:uid="{00000000-0002-0000-0400-000004000000}">
          <x14:formula1>
            <xm:f>'DROP DOWN'!$F$3:$F$11</xm:f>
          </x14:formula1>
          <xm:sqref>Q85</xm:sqref>
        </x14:dataValidation>
        <x14:dataValidation type="list" allowBlank="1" showInputMessage="1" showErrorMessage="1" xr:uid="{00000000-0002-0000-0400-000005000000}">
          <x14:formula1>
            <xm:f>'DROP DOWN'!$D$3:$D$7</xm:f>
          </x14:formula1>
          <xm:sqref>K28 J6 R28 R17 G17 G28 K17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B06E68403929F4D907C247050EA24E9" ma:contentTypeVersion="6" ma:contentTypeDescription="Ein neues Dokument erstellen." ma:contentTypeScope="" ma:versionID="9811904bb3f032ac82b953dfe372a881">
  <xsd:schema xmlns:xsd="http://www.w3.org/2001/XMLSchema" xmlns:xs="http://www.w3.org/2001/XMLSchema" xmlns:p="http://schemas.microsoft.com/office/2006/metadata/properties" xmlns:ns1="http://schemas.microsoft.com/sharepoint/v3" xmlns:ns2="312d5605-e620-4c2a-a302-6cb8f4fd38bf" xmlns:ns3="d54807e7-c309-4a33-8f10-f8c0426d92d3" targetNamespace="http://schemas.microsoft.com/office/2006/metadata/properties" ma:root="true" ma:fieldsID="19a5d1209531bb7dd027a1e3abf7c23c" ns1:_="" ns2:_="" ns3:_="">
    <xsd:import namespace="http://schemas.microsoft.com/sharepoint/v3"/>
    <xsd:import namespace="312d5605-e620-4c2a-a302-6cb8f4fd38bf"/>
    <xsd:import namespace="d54807e7-c309-4a33-8f10-f8c0426d92d3"/>
    <xsd:element name="properties">
      <xsd:complexType>
        <xsd:sequence>
          <xsd:element name="documentManagement">
            <xsd:complexType>
              <xsd:all>
                <xsd:element ref="ns2:Themengruppe" minOccurs="0"/>
                <xsd:element ref="ns2:Mittelgebergruppe" minOccurs="0"/>
                <xsd:element ref="ns2:Kommentar" minOccurs="0"/>
                <xsd:element ref="ns3:_dlc_DocId" minOccurs="0"/>
                <xsd:element ref="ns3:_dlc_DocIdUrl" minOccurs="0"/>
                <xsd:element ref="ns3:_dlc_DocIdPersistId" minOccurs="0"/>
                <xsd:element ref="ns1:PublishingStartDate" minOccurs="0"/>
                <xsd:element ref="ns1:PublishingExpirationDat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Geplantes Startdatum" ma:description="Geplantes Startdatum ist eine Websitespalte, die über das Feature zum Veröffentlichen erstellt wird. Es wird zur Angabe des Datums und der Uhrzeit verwendet, wann diese Seite Besuchern zum ersten Mal angezeigt wird." ma:hidden="true" ma:internalName="PublishingStartDate">
      <xsd:simpleType>
        <xsd:restriction base="dms:Unknown"/>
      </xsd:simpleType>
    </xsd:element>
    <xsd:element name="PublishingExpirationDate" ma:index="11" nillable="true" ma:displayName="Geplantes Enddatum" ma:description="Geplantes Enddatum ist eine Websitespalte, die über das Feature zum Veröffentlichen erstellt wird. Es wird zur Angabe des Datums und der Uhrzeit verwendet, wann diese Seite Besuchern nicht mehr angezeigt wird."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12d5605-e620-4c2a-a302-6cb8f4fd38bf" elementFormDefault="qualified">
    <xsd:import namespace="http://schemas.microsoft.com/office/2006/documentManagement/types"/>
    <xsd:import namespace="http://schemas.microsoft.com/office/infopath/2007/PartnerControls"/>
    <xsd:element name="Themengruppe" ma:index="2" nillable="true" ma:displayName="WiM Themengruppe" ma:internalName="Themengruppe">
      <xsd:simpleType>
        <xsd:restriction base="dms:Text">
          <xsd:maxLength value="255"/>
        </xsd:restriction>
      </xsd:simpleType>
    </xsd:element>
    <xsd:element name="Mittelgebergruppe" ma:index="3" nillable="true" ma:displayName="Mittelgebergruppe" ma:default="Keine" ma:format="Dropdown" ma:internalName="Mittelgebergruppe">
      <xsd:simpleType>
        <xsd:restriction base="dms:Choice">
          <xsd:enumeration value="1 Mittelgeber: 01 Groß- und Exzellenzprojekte"/>
          <xsd:enumeration value="1 Mittelgeber: 02 EU"/>
          <xsd:enumeration value="1 Mittelgeber: 03 Nationale Projekte"/>
          <xsd:enumeration value="2 Projektbearbeitung"/>
          <xsd:enumeration value="3 Drittmittelcontrolling"/>
          <xsd:enumeration value="Keine"/>
        </xsd:restriction>
      </xsd:simpleType>
    </xsd:element>
    <xsd:element name="Kommentar" ma:index="4" nillable="true" ma:displayName="Kommentar" ma:internalName="Kommenta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4807e7-c309-4a33-8f10-f8c0426d92d3" elementFormDefault="qualified">
    <xsd:import namespace="http://schemas.microsoft.com/office/2006/documentManagement/types"/>
    <xsd:import namespace="http://schemas.microsoft.com/office/infopath/2007/PartnerControls"/>
    <xsd:element name="_dlc_DocId" ma:index="7" nillable="true" ma:displayName="Wert der Dokument-ID" ma:description="Der Wert der diesem Element zugewiesenen Dokument-ID." ma:internalName="_dlc_DocId" ma:readOnly="true">
      <xsd:simpleType>
        <xsd:restriction base="dms:Text"/>
      </xsd:simpleType>
    </xsd:element>
    <xsd:element name="_dlc_DocIdUrl" ma:index="8"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Beständige ID" ma:description="ID beim Hinzufügen beibehalten." ma:hidden="true" ma:internalName="_dlc_DocIdPersistId" ma:readOnly="true">
      <xsd:simpleType>
        <xsd:restriction base="dms:Boolean"/>
      </xsd:simpleType>
    </xsd:element>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Inhaltstyp"/>
        <xsd:element ref="dc:title" minOccurs="0" maxOccurs="1" ma:index="1" ma:displayName="Thema"/>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d54807e7-c309-4a33-8f10-f8c0426d92d3">ABT4-604795411-1481</_dlc_DocId>
    <_dlc_DocIdUrl xmlns="d54807e7-c309-4a33-8f10-f8c0426d92d3">
      <Url>https://sharepoint.uni-hamburg.de/verwaltung/abteilung-4/wim/_layouts/15/DocIdRedir.aspx?ID=ABT4-604795411-1481</Url>
      <Description>ABT4-604795411-1481</Description>
    </_dlc_DocIdUrl>
    <PublishingExpirationDate xmlns="http://schemas.microsoft.com/sharepoint/v3" xsi:nil="true"/>
    <PublishingStartDate xmlns="http://schemas.microsoft.com/sharepoint/v3" xsi:nil="true"/>
    <Kommentar xmlns="312d5605-e620-4c2a-a302-6cb8f4fd38bf" xsi:nil="true"/>
    <Mittelgebergruppe xmlns="312d5605-e620-4c2a-a302-6cb8f4fd38bf">Keine</Mittelgebergruppe>
    <Themengruppe xmlns="312d5605-e620-4c2a-a302-6cb8f4fd38bf" xsi:nil="true"/>
  </documentManagement>
</p:properties>
</file>

<file path=customXml/itemProps1.xml><?xml version="1.0" encoding="utf-8"?>
<ds:datastoreItem xmlns:ds="http://schemas.openxmlformats.org/officeDocument/2006/customXml" ds:itemID="{388AF883-88B9-4AEB-A434-55BCBE9520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2d5605-e620-4c2a-a302-6cb8f4fd38bf"/>
    <ds:schemaRef ds:uri="d54807e7-c309-4a33-8f10-f8c0426d92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6D72D-70C1-4A21-825B-A9D2157708AB}">
  <ds:schemaRefs>
    <ds:schemaRef ds:uri="http://schemas.microsoft.com/sharepoint/v3/contenttype/forms"/>
  </ds:schemaRefs>
</ds:datastoreItem>
</file>

<file path=customXml/itemProps3.xml><?xml version="1.0" encoding="utf-8"?>
<ds:datastoreItem xmlns:ds="http://schemas.openxmlformats.org/officeDocument/2006/customXml" ds:itemID="{7A97514E-69D3-4ADA-A279-79CC6C91E3A5}">
  <ds:schemaRefs>
    <ds:schemaRef ds:uri="http://schemas.microsoft.com/sharepoint/events"/>
  </ds:schemaRefs>
</ds:datastoreItem>
</file>

<file path=customXml/itemProps4.xml><?xml version="1.0" encoding="utf-8"?>
<ds:datastoreItem xmlns:ds="http://schemas.openxmlformats.org/officeDocument/2006/customXml" ds:itemID="{CF4A6CE5-CE17-4118-9FE9-060C00021409}">
  <ds:schemaRefs>
    <ds:schemaRef ds:uri="http://purl.org/dc/dcmitype/"/>
    <ds:schemaRef ds:uri="http://purl.org/dc/terms/"/>
    <ds:schemaRef ds:uri="d54807e7-c309-4a33-8f10-f8c0426d92d3"/>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312d5605-e620-4c2a-a302-6cb8f4fd38bf"/>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148</vt:i4>
      </vt:variant>
    </vt:vector>
  </HeadingPairs>
  <TitlesOfParts>
    <vt:vector size="167" baseType="lpstr">
      <vt:lpstr>Erläuterung</vt:lpstr>
      <vt:lpstr>PKHR_für_Tarifpersonal</vt:lpstr>
      <vt:lpstr>PKHR_für_SHK_WHK_TUT</vt:lpstr>
      <vt:lpstr>PKHR_für_AZA(P)</vt:lpstr>
      <vt:lpstr>HR-DM (U3,U4,U5AUF)</vt:lpstr>
      <vt:lpstr>HR-LM (U2,U5FOD,U7)</vt:lpstr>
      <vt:lpstr>HR-AZA(P)</vt:lpstr>
      <vt:lpstr>HR-EU</vt:lpstr>
      <vt:lpstr>HR-SHK, WHK u.Tut</vt:lpstr>
      <vt:lpstr>HR-EU_Druckversion</vt:lpstr>
      <vt:lpstr>Tariftabellen</vt:lpstr>
      <vt:lpstr>Nebenkosten (NK)</vt:lpstr>
      <vt:lpstr>Std. Satz_SHK, WHK u. TUT</vt:lpstr>
      <vt:lpstr>NK_SHK, WHK u. TUT</vt:lpstr>
      <vt:lpstr>Berechnungsgrundlagen</vt:lpstr>
      <vt:lpstr>LeeresArbeitsblatt</vt:lpstr>
      <vt:lpstr>Änderungshistorie</vt:lpstr>
      <vt:lpstr>Kontrolle</vt:lpstr>
      <vt:lpstr>DROP DOWN</vt:lpstr>
      <vt:lpstr>AGBTR_Jahr1</vt:lpstr>
      <vt:lpstr>AGBTR_Jahr2</vt:lpstr>
      <vt:lpstr>AGBTR_Jahr3</vt:lpstr>
      <vt:lpstr>AGBTR_Jahr4</vt:lpstr>
      <vt:lpstr>AGBTR_Jahr5</vt:lpstr>
      <vt:lpstr>AGBTR_Jahr6</vt:lpstr>
      <vt:lpstr>AGHBTR_Jahr1</vt:lpstr>
      <vt:lpstr>AGHBTR_Jahr2</vt:lpstr>
      <vt:lpstr>AGHBTR_Jahr3</vt:lpstr>
      <vt:lpstr>AGHBTR_Jahr4</vt:lpstr>
      <vt:lpstr>AGHBTR_Jahr5</vt:lpstr>
      <vt:lpstr>AGHBTR_Jahr6</vt:lpstr>
      <vt:lpstr>AvBeitrJahr1</vt:lpstr>
      <vt:lpstr>AvBeitrJahr2</vt:lpstr>
      <vt:lpstr>AvBeitrJahr3</vt:lpstr>
      <vt:lpstr>AvBeitrJahr4</vt:lpstr>
      <vt:lpstr>AvBeitrJahr5</vt:lpstr>
      <vt:lpstr>AvBeitrJahr6</vt:lpstr>
      <vt:lpstr>Bmg1Jahr1</vt:lpstr>
      <vt:lpstr>Bmg1Jahr2</vt:lpstr>
      <vt:lpstr>Bmg1Jahr3</vt:lpstr>
      <vt:lpstr>Bmg1Jahr4</vt:lpstr>
      <vt:lpstr>Bmg1Jahr5</vt:lpstr>
      <vt:lpstr>Bmg1Jahr6</vt:lpstr>
      <vt:lpstr>Bmg2Jahr1</vt:lpstr>
      <vt:lpstr>Bmg2Jahr2</vt:lpstr>
      <vt:lpstr>Bmg2Jahr3</vt:lpstr>
      <vt:lpstr>Bmg2Jahr4</vt:lpstr>
      <vt:lpstr>Bmg2Jahr5</vt:lpstr>
      <vt:lpstr>Bmg2Jahr6</vt:lpstr>
      <vt:lpstr>BmgKvJahr1</vt:lpstr>
      <vt:lpstr>'HR-AZA(P)'!Druckbereich</vt:lpstr>
      <vt:lpstr>'HR-DM (U3,U4,U5AUF)'!Druckbereich</vt:lpstr>
      <vt:lpstr>'HR-EU'!Druckbereich</vt:lpstr>
      <vt:lpstr>'HR-LM (U2,U5FOD,U7)'!Druckbereich</vt:lpstr>
      <vt:lpstr>'HR-SHK, WHK u.Tut'!Druckbereich</vt:lpstr>
      <vt:lpstr>'Nebenkosten (NK)'!Druckbereich</vt:lpstr>
      <vt:lpstr>'NK_SHK, WHK u. TUT'!Druckbereich</vt:lpstr>
      <vt:lpstr>'Std. Satz_SHK, WHK u. TUT'!Druckbereich</vt:lpstr>
      <vt:lpstr>Tariftabellen!Druckbereich</vt:lpstr>
      <vt:lpstr>EntgelteJahr1</vt:lpstr>
      <vt:lpstr>EntgelteJahr2</vt:lpstr>
      <vt:lpstr>EntgelteJahr3</vt:lpstr>
      <vt:lpstr>EntgelteJahr4</vt:lpstr>
      <vt:lpstr>EntgelteJahr5</vt:lpstr>
      <vt:lpstr>EntgelteJahr6</vt:lpstr>
      <vt:lpstr>GruppeJahr1</vt:lpstr>
      <vt:lpstr>GruppeJahr2</vt:lpstr>
      <vt:lpstr>GruppeJahr3</vt:lpstr>
      <vt:lpstr>GruppeJahr4</vt:lpstr>
      <vt:lpstr>GruppeJahr5</vt:lpstr>
      <vt:lpstr>GruppeJahr6</vt:lpstr>
      <vt:lpstr>HBetrKVJahr1</vt:lpstr>
      <vt:lpstr>HBetrKVJahr2</vt:lpstr>
      <vt:lpstr>HBetrKVJahr3</vt:lpstr>
      <vt:lpstr>HBetrKVJahr4</vt:lpstr>
      <vt:lpstr>HBetrKVJahr5</vt:lpstr>
      <vt:lpstr>HBetrKVJahr6</vt:lpstr>
      <vt:lpstr>HBetrPVJahr1</vt:lpstr>
      <vt:lpstr>HBetrPVJahr2</vt:lpstr>
      <vt:lpstr>HBetrPVJahr3</vt:lpstr>
      <vt:lpstr>HBetrPVJahr4</vt:lpstr>
      <vt:lpstr>HBetrPVJahr5</vt:lpstr>
      <vt:lpstr>HBetrPVJahr6</vt:lpstr>
      <vt:lpstr>HBetrU2Jahr1</vt:lpstr>
      <vt:lpstr>HBetrU2Jahr2</vt:lpstr>
      <vt:lpstr>HBetrU2Jahr3</vt:lpstr>
      <vt:lpstr>HBetrU2Jahr4</vt:lpstr>
      <vt:lpstr>HBetrU2Jahr5</vt:lpstr>
      <vt:lpstr>HBetrU2Jahr6</vt:lpstr>
      <vt:lpstr>JszGrJahr1</vt:lpstr>
      <vt:lpstr>JszGrJahr2</vt:lpstr>
      <vt:lpstr>JszGrJahr3</vt:lpstr>
      <vt:lpstr>JszGrJahr4</vt:lpstr>
      <vt:lpstr>JszGrJahr5</vt:lpstr>
      <vt:lpstr>JszGrJahr6</vt:lpstr>
      <vt:lpstr>JszJahr1</vt:lpstr>
      <vt:lpstr>JszJahr2</vt:lpstr>
      <vt:lpstr>JszJahr3</vt:lpstr>
      <vt:lpstr>JszJahr4</vt:lpstr>
      <vt:lpstr>JszJahr5</vt:lpstr>
      <vt:lpstr>JszJahr6</vt:lpstr>
      <vt:lpstr>JszStJahr1</vt:lpstr>
      <vt:lpstr>JszStJahr2</vt:lpstr>
      <vt:lpstr>JszStJahr3</vt:lpstr>
      <vt:lpstr>JszStJahr4</vt:lpstr>
      <vt:lpstr>JszStJahr5</vt:lpstr>
      <vt:lpstr>JszStJahr6</vt:lpstr>
      <vt:lpstr>LukJahr1</vt:lpstr>
      <vt:lpstr>LukJahr2</vt:lpstr>
      <vt:lpstr>LukJahr3</vt:lpstr>
      <vt:lpstr>LukJahr4</vt:lpstr>
      <vt:lpstr>LukJahr5</vt:lpstr>
      <vt:lpstr>LukJahr6</vt:lpstr>
      <vt:lpstr>MZJahr1</vt:lpstr>
      <vt:lpstr>MZJahr2</vt:lpstr>
      <vt:lpstr>MZJahr3</vt:lpstr>
      <vt:lpstr>MZJahr4</vt:lpstr>
      <vt:lpstr>MZJahr5</vt:lpstr>
      <vt:lpstr>MZJahr6</vt:lpstr>
      <vt:lpstr>RvBeitrJahr1</vt:lpstr>
      <vt:lpstr>RvBeitrJahr2</vt:lpstr>
      <vt:lpstr>RvBeitrJahr3</vt:lpstr>
      <vt:lpstr>RvBeitrJahr4</vt:lpstr>
      <vt:lpstr>RvBeitrJahr5</vt:lpstr>
      <vt:lpstr>RvBeitrJahr6</vt:lpstr>
      <vt:lpstr>StufeJahr1</vt:lpstr>
      <vt:lpstr>StufeJahr2</vt:lpstr>
      <vt:lpstr>StufeJahr3</vt:lpstr>
      <vt:lpstr>StufeJahr4</vt:lpstr>
      <vt:lpstr>StufeJahr5</vt:lpstr>
      <vt:lpstr>StufeJahr6</vt:lpstr>
      <vt:lpstr>StundenJahr1</vt:lpstr>
      <vt:lpstr>StundenJahr2</vt:lpstr>
      <vt:lpstr>StundenJahr3</vt:lpstr>
      <vt:lpstr>StundenJahr4</vt:lpstr>
      <vt:lpstr>StundenJahr5</vt:lpstr>
      <vt:lpstr>StundenJahr6</vt:lpstr>
      <vt:lpstr>U2UmlJahr1</vt:lpstr>
      <vt:lpstr>U2UmlJahr2</vt:lpstr>
      <vt:lpstr>U2UmlJahr3</vt:lpstr>
      <vt:lpstr>U2UmlJahr4</vt:lpstr>
      <vt:lpstr>U2UmlJahr5</vt:lpstr>
      <vt:lpstr>U2UmlJahr6</vt:lpstr>
      <vt:lpstr>VzDmJahr1</vt:lpstr>
      <vt:lpstr>VzDmJahr2</vt:lpstr>
      <vt:lpstr>VzDmJahr3</vt:lpstr>
      <vt:lpstr>VzDmJahr4</vt:lpstr>
      <vt:lpstr>VzDmJahr5</vt:lpstr>
      <vt:lpstr>VzDmJahr6</vt:lpstr>
      <vt:lpstr>VzLMJahr1</vt:lpstr>
      <vt:lpstr>VzLMJahr2</vt:lpstr>
      <vt:lpstr>VzLMJahr3</vt:lpstr>
      <vt:lpstr>VzLMJahr4</vt:lpstr>
      <vt:lpstr>VzLMJahr5</vt:lpstr>
      <vt:lpstr>VzLMJahr6</vt:lpstr>
      <vt:lpstr>VZunbDM1</vt:lpstr>
      <vt:lpstr>VZunbDM2</vt:lpstr>
      <vt:lpstr>VZunbDM3</vt:lpstr>
      <vt:lpstr>VZunbDM4</vt:lpstr>
      <vt:lpstr>VZunbDM5</vt:lpstr>
      <vt:lpstr>VZunbDM6</vt:lpstr>
      <vt:lpstr>ZuschlagJahr1</vt:lpstr>
      <vt:lpstr>ZuschlagJahr2</vt:lpstr>
      <vt:lpstr>ZuschlagJahr3</vt:lpstr>
      <vt:lpstr>ZuschlagJahr4</vt:lpstr>
      <vt:lpstr>ZuschlagJahr5</vt:lpstr>
      <vt:lpstr>ZuschlagJahr6</vt:lpstr>
    </vt:vector>
  </TitlesOfParts>
  <Company>Hamburg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Patrick Ungruhe</dc:creator>
  <cp:lastModifiedBy>Patrick Ungruhe</cp:lastModifiedBy>
  <cp:lastPrinted>2026-02-17T08:56:54Z</cp:lastPrinted>
  <dcterms:created xsi:type="dcterms:W3CDTF">2011-03-22T10:51:24Z</dcterms:created>
  <dcterms:modified xsi:type="dcterms:W3CDTF">2026-06-03T10:05:52Z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0x0101005B06E68403929F4D907C247050EA24E9</vt:lpwstr>
  </property>
  <property fmtid="{D5CDD505-2E9C-101B-9397-08002B2CF9AE}" pid="3" name="_dlc_DocIdItemGuid">
    <vt:lpwstr>72023aff-635d-43d0-8ddb-8a0778fd9032</vt:lpwstr>
  </property>
  <property fmtid="{D5CDD505-2E9C-101B-9397-08002B2CF9AE}" pid="4" name="Test">
    <vt:lpwstr/>
  </property>
  <property fmtid="{D5CDD505-2E9C-101B-9397-08002B2CF9AE}" pid="5" name="URL">
    <vt:lpwstr>, </vt:lpwstr>
  </property>
  <property fmtid="{D5CDD505-2E9C-101B-9397-08002B2CF9AE}" pid="6" name="Wissensvermittler/innen 2">
    <vt:lpwstr/>
  </property>
  <property fmtid="{D5CDD505-2E9C-101B-9397-08002B2CF9AE}" pid="7" name="TUG">
    <vt:lpwstr>1702 Hochrechnung Personalobligo</vt:lpwstr>
  </property>
</Properties>
</file>